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9035" windowHeight="11700" tabRatio="877" activeTab="0"/>
  </bookViews>
  <sheets>
    <sheet name="Summary" sheetId="1" r:id="rId1"/>
    <sheet name="Atrio" sheetId="2" r:id="rId2"/>
    <sheet name="Health Net" sheetId="3" r:id="rId3"/>
    <sheet name="Kaiser" sheetId="4" r:id="rId4"/>
    <sheet name="LifeWise" sheetId="5" r:id="rId5"/>
    <sheet name="Moda" sheetId="6" r:id="rId6"/>
    <sheet name="OHC" sheetId="7" r:id="rId7"/>
    <sheet name="PacificSource" sheetId="8" r:id="rId8"/>
    <sheet name="Providence" sheetId="9" r:id="rId9"/>
    <sheet name="Regence" sheetId="10" r:id="rId10"/>
    <sheet name="Samaritan" sheetId="11" r:id="rId11"/>
    <sheet name="Trillium" sheetId="12" r:id="rId12"/>
    <sheet name="Zoom" sheetId="13" r:id="rId13"/>
    <sheet name="Data" sheetId="14" state="hidden" r:id="rId14"/>
  </sheets>
  <definedNames>
    <definedName name="_xlfn.IFERROR" hidden="1">#NAME?</definedName>
  </definedNames>
  <calcPr fullCalcOnLoad="1"/>
  <pivotCaches>
    <pivotCache cacheId="1" r:id="rId15"/>
  </pivotCaches>
</workbook>
</file>

<file path=xl/sharedStrings.xml><?xml version="1.0" encoding="utf-8"?>
<sst xmlns="http://schemas.openxmlformats.org/spreadsheetml/2006/main" count="1371" uniqueCount="87">
  <si>
    <t>Health Insurers</t>
  </si>
  <si>
    <t>Assets</t>
  </si>
  <si>
    <t>Surplus</t>
  </si>
  <si>
    <t>Claims &amp; LAE Reserve</t>
  </si>
  <si>
    <t>Earned Premium</t>
  </si>
  <si>
    <t>Total Revenues</t>
  </si>
  <si>
    <t>Total Medical Claims</t>
  </si>
  <si>
    <t>Claims Adj. &amp; General Admin. Expenses</t>
  </si>
  <si>
    <t>Net Underwriting Gain/(Loss)</t>
  </si>
  <si>
    <t>Net Income</t>
  </si>
  <si>
    <t>Medical Loss Ratio</t>
  </si>
  <si>
    <t>Health Net Health Plan</t>
  </si>
  <si>
    <t>Kaiser Fnd HP NW</t>
  </si>
  <si>
    <t>LifeWise Health Plan</t>
  </si>
  <si>
    <t>Moda Health Plan</t>
  </si>
  <si>
    <t>PacificSource Hlth Plan</t>
  </si>
  <si>
    <t>Providence Health Plan</t>
  </si>
  <si>
    <t>Regence BCBS OR</t>
  </si>
  <si>
    <t>Atrio Health Plans</t>
  </si>
  <si>
    <t>Oregon's Health CO-OP</t>
  </si>
  <si>
    <t>Samaritan Health Plan</t>
  </si>
  <si>
    <t>Trillium Comm Health Plan</t>
  </si>
  <si>
    <t>Quarter</t>
  </si>
  <si>
    <t>Year</t>
  </si>
  <si>
    <t>Administrative Expense Ratio</t>
  </si>
  <si>
    <t xml:space="preserve">Assets </t>
  </si>
  <si>
    <t xml:space="preserve">Surplus </t>
  </si>
  <si>
    <t xml:space="preserve">Claims &amp; LAE Reserve </t>
  </si>
  <si>
    <t xml:space="preserve">Earned Premium </t>
  </si>
  <si>
    <t xml:space="preserve">Total Revenues </t>
  </si>
  <si>
    <t xml:space="preserve">Total Medical Claims </t>
  </si>
  <si>
    <t xml:space="preserve">Medical Loss Ratio </t>
  </si>
  <si>
    <t xml:space="preserve">Net Income </t>
  </si>
  <si>
    <t xml:space="preserve">Net Underwriting Gain/(Loss) </t>
  </si>
  <si>
    <t xml:space="preserve">Claims Adj. &amp; General Admin. Expenses </t>
  </si>
  <si>
    <t>Insurer</t>
  </si>
  <si>
    <t>Zoom Health Plan, Inc.</t>
  </si>
  <si>
    <t xml:space="preserve">Admin Expense Ratio </t>
  </si>
  <si>
    <t>Admin Expense Ratio</t>
  </si>
  <si>
    <t xml:space="preserve">Total
Revenues </t>
  </si>
  <si>
    <t xml:space="preserve">Net
Income </t>
  </si>
  <si>
    <t>1
1
1</t>
  </si>
  <si>
    <t>Year-Qtr</t>
  </si>
  <si>
    <t>2016-Q1</t>
  </si>
  <si>
    <t>2016-Q2</t>
  </si>
  <si>
    <t>2015-Q4</t>
  </si>
  <si>
    <t>2015-Q3</t>
  </si>
  <si>
    <t>2015-Q2</t>
  </si>
  <si>
    <t>2015-Q1</t>
  </si>
  <si>
    <t>-Q1</t>
  </si>
  <si>
    <t>-Q2</t>
  </si>
  <si>
    <t>-Q3</t>
  </si>
  <si>
    <t>-Q4</t>
  </si>
  <si>
    <t>2014</t>
  </si>
  <si>
    <t>2013</t>
  </si>
  <si>
    <t>2012</t>
  </si>
  <si>
    <t>2011</t>
  </si>
  <si>
    <t>2010</t>
  </si>
  <si>
    <t>2009</t>
  </si>
  <si>
    <t>Historical Annual Financials</t>
  </si>
  <si>
    <t>Quarterly Financials 2015-2016</t>
  </si>
  <si>
    <t>KAISER FOUNDATION HEALTH PLAN OF THE NORTHWEST</t>
  </si>
  <si>
    <t>ATRIO HEALTH PLANS, INC.</t>
  </si>
  <si>
    <t>HEALTH NET HEALTH PLAN OF OREGON, INC.</t>
  </si>
  <si>
    <t>LIFEWISE HEALTH PLAN OF OREGON, INC.</t>
  </si>
  <si>
    <t>MODA HEALTH PLAN, INC.</t>
  </si>
  <si>
    <t>OREGON'S HEALTH CO-OP</t>
  </si>
  <si>
    <t>PACIFICSOURCE HEALTH PLANS</t>
  </si>
  <si>
    <t>PROVIDENCE HEALTH PLAN</t>
  </si>
  <si>
    <t>REGENCE BLUECROSS BLUESHIELD OF OREGON</t>
  </si>
  <si>
    <t>TRILLIUM COMMUNITY HEALTH PLAN, INC.</t>
  </si>
  <si>
    <t>SAMARITAN HEALTH PLANS, INC.</t>
  </si>
  <si>
    <t>ZOOM HEALTH PLAN, INC.</t>
  </si>
  <si>
    <t>2016-Q3</t>
  </si>
  <si>
    <t xml:space="preserve">Claims &amp; Loss Adjustment Expense Reserve </t>
  </si>
  <si>
    <t>2016-Q4</t>
  </si>
  <si>
    <t>2017-Q1</t>
  </si>
  <si>
    <t>2017-Q2</t>
  </si>
  <si>
    <t>Quarterly Financials 2015-2017</t>
  </si>
  <si>
    <t>2017-Q3</t>
  </si>
  <si>
    <t>2017-Q4</t>
  </si>
  <si>
    <t>Quarterly Financials 2015-2018</t>
  </si>
  <si>
    <t>2018-Q1</t>
  </si>
  <si>
    <t>2018-Q2</t>
  </si>
  <si>
    <t>Q4 2018 Financials for Oregon Domestics in the Individual and/or S.G. Markets</t>
  </si>
  <si>
    <t>2018-Q4</t>
  </si>
  <si>
    <t>2018-Q3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</si>
</sst>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77" formatCode="0.00%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sz val="18"/>
      <color indexed="9"/>
      <name val="Arial"/>
      <family val="2"/>
    </font>
    <font>
      <sz val="22"/>
      <color indexed="8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28"/>
      <color indexed="8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3"/>
      <color indexed="8"/>
      <name val="Calibri"/>
      <family val="0"/>
    </font>
    <font>
      <sz val="17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0"/>
      <name val="Arial"/>
      <family val="2"/>
    </font>
    <font>
      <sz val="18"/>
      <color theme="0"/>
      <name val="Arial"/>
      <family val="2"/>
    </font>
    <font>
      <sz val="10"/>
      <color theme="7" tint="0.7999799847602844"/>
      <name val="Arial"/>
      <family val="2"/>
    </font>
    <font>
      <sz val="11"/>
      <color rgb="FF000000"/>
      <name val="Calibri"/>
      <family val="0"/>
    </font>
    <font>
      <sz val="9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67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/>
    </xf>
    <xf numFmtId="164" fontId="3" fillId="6" borderId="10" xfId="0" applyNumberFormat="1" applyFont="1" applyFill="1" applyBorder="1" applyAlignment="1">
      <alignment/>
    </xf>
    <xf numFmtId="10" fontId="3" fillId="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/>
    </xf>
    <xf numFmtId="164" fontId="3" fillId="7" borderId="10" xfId="0" applyNumberFormat="1" applyFont="1" applyFill="1" applyBorder="1" applyAlignment="1">
      <alignment/>
    </xf>
    <xf numFmtId="10" fontId="3" fillId="7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10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/>
    </xf>
    <xf numFmtId="10" fontId="3" fillId="3" borderId="10" xfId="0" applyNumberFormat="1" applyFont="1" applyFill="1" applyBorder="1" applyAlignment="1">
      <alignment/>
    </xf>
    <xf numFmtId="0" fontId="3" fillId="5" borderId="10" xfId="0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/>
    </xf>
    <xf numFmtId="10" fontId="3" fillId="5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/>
    </xf>
    <xf numFmtId="10" fontId="3" fillId="4" borderId="10" xfId="0" applyNumberFormat="1" applyFont="1" applyFill="1" applyBorder="1" applyAlignment="1">
      <alignment/>
    </xf>
    <xf numFmtId="38" fontId="3" fillId="0" borderId="0" xfId="58" applyNumberFormat="1" applyFont="1" applyFill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10" fontId="34" fillId="0" borderId="10" xfId="0" applyNumberFormat="1" applyFont="1" applyBorder="1" applyAlignment="1">
      <alignment/>
    </xf>
    <xf numFmtId="10" fontId="53" fillId="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38" fontId="3" fillId="0" borderId="0" xfId="58" applyNumberFormat="1" applyFont="1" applyFill="1" applyAlignment="1">
      <alignment horizontal="center" vertical="center"/>
      <protection/>
    </xf>
    <xf numFmtId="38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60" applyFill="1">
      <alignment/>
      <protection/>
    </xf>
    <xf numFmtId="38" fontId="3" fillId="0" borderId="0" xfId="58" applyNumberFormat="1" applyFont="1" applyFill="1" applyAlignment="1">
      <alignment horizontal="center" vertical="center"/>
      <protection/>
    </xf>
    <xf numFmtId="0" fontId="3" fillId="35" borderId="10" xfId="0" applyFont="1" applyFill="1" applyBorder="1" applyAlignment="1">
      <alignment horizontal="left"/>
    </xf>
    <xf numFmtId="164" fontId="3" fillId="35" borderId="10" xfId="0" applyNumberFormat="1" applyFont="1" applyFill="1" applyBorder="1" applyAlignment="1">
      <alignment/>
    </xf>
    <xf numFmtId="10" fontId="3" fillId="35" borderId="10" xfId="0" applyNumberFormat="1" applyFont="1" applyFill="1" applyBorder="1" applyAlignment="1">
      <alignment/>
    </xf>
    <xf numFmtId="10" fontId="34" fillId="35" borderId="10" xfId="0" applyNumberFormat="1" applyFont="1" applyFill="1" applyBorder="1" applyAlignment="1">
      <alignment/>
    </xf>
    <xf numFmtId="0" fontId="54" fillId="0" borderId="0" xfId="63" applyNumberFormat="1" applyFont="1" applyFill="1" applyBorder="1" applyAlignment="1" applyProtection="1">
      <alignment vertical="center"/>
      <protection/>
    </xf>
    <xf numFmtId="0" fontId="0" fillId="0" borderId="0" xfId="62" applyFill="1">
      <alignment/>
      <protection/>
    </xf>
    <xf numFmtId="0" fontId="0" fillId="0" borderId="0" xfId="59" applyFill="1" applyBorder="1">
      <alignment/>
      <protection/>
    </xf>
    <xf numFmtId="164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9" fontId="0" fillId="0" borderId="0" xfId="0" applyNumberFormat="1" applyFill="1" applyAlignment="1">
      <alignment horizontal="center"/>
    </xf>
    <xf numFmtId="9" fontId="0" fillId="0" borderId="0" xfId="67" applyNumberFormat="1" applyFont="1" applyFill="1" applyAlignment="1">
      <alignment horizontal="center"/>
    </xf>
    <xf numFmtId="0" fontId="0" fillId="0" borderId="0" xfId="59" applyFont="1" applyFill="1" applyBorder="1" quotePrefix="1">
      <alignment/>
      <protection/>
    </xf>
    <xf numFmtId="164" fontId="55" fillId="33" borderId="10" xfId="0" applyNumberFormat="1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4 2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Title" xfId="73"/>
    <cellStyle name="Total" xfId="74"/>
    <cellStyle name="Warning Text" xfId="75"/>
  </cellStyles>
  <dxfs count="44">
    <dxf>
      <alignment wrapText="1" readingOrder="0"/>
      <border/>
    </dxf>
    <dxf>
      <alignment vertical="center" readingOrder="0"/>
      <border/>
    </dxf>
    <dxf>
      <alignment horizontal="center" readingOrder="0"/>
      <border/>
    </dxf>
    <dxf>
      <numFmt numFmtId="164" formatCode="_(&quot;$&quot;* #,##0_);_(&quot;$&quot;* \(#,##0\);_(&quot;$&quot;* &quot;-&quot;??_);_(@_)"/>
      <border/>
    </dxf>
    <dxf>
      <numFmt numFmtId="177" formatCode="0.00%"/>
      <border/>
    </dxf>
    <dxf>
      <border>
        <left style="thin"/>
        <right style="thin"/>
        <top style="thin"/>
        <bottom style="thin"/>
      </border>
    </dxf>
    <dxf>
      <numFmt numFmtId="166" formatCode="_(* #,##0_);_(* \(#,##0\);_(* &quot;-&quot;??_);_(@_)"/>
      <border/>
    </dxf>
    <dxf>
      <fill>
        <patternFill>
          <bgColor rgb="FFCCCCFF"/>
        </patternFill>
      </fill>
      <border/>
    </dxf>
    <dxf>
      <fill>
        <patternFill patternType="solid">
          <bgColor rgb="FFCCCCFF"/>
        </patternFill>
      </fill>
      <border/>
    </dxf>
    <dxf>
      <fill>
        <patternFill>
          <bgColor rgb="FFFFFFFF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ont>
        <sz val="9"/>
      </font>
      <border/>
    </dxf>
    <dxf>
      <numFmt numFmtId="165" formatCode="&quot;$&quot;#,##0"/>
      <border/>
    </dxf>
    <dxf>
      <alignment horizontal="center" vertical="center" wrapText="1" readingOrder="0"/>
      <border/>
    </dxf>
    <dxf>
      <font>
        <color auto="1"/>
      </font>
      <border/>
    </dxf>
    <dxf>
      <font>
        <b/>
      </font>
      <border/>
    </dxf>
    <dxf>
      <fill>
        <patternFill>
          <bgColor rgb="FFFFFFCC"/>
        </patternFill>
      </fill>
      <border/>
    </dxf>
    <dxf>
      <font>
        <b/>
      </font>
      <fill>
        <patternFill patternType="solid">
          <fgColor indexed="65"/>
          <bgColor rgb="FFFFFFCC"/>
        </patternFill>
      </fill>
      <alignment horizontal="center" vertical="center" wrapText="1" readingOrder="0"/>
      <border/>
    </dxf>
    <dxf>
      <fill>
        <patternFill patternType="solid">
          <bgColor rgb="FFFFFFCC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bgColor rgb="FF99CCFF"/>
        </patternFill>
      </fill>
      <border/>
    </dxf>
    <dxf>
      <font>
        <b/>
      </font>
      <fill>
        <patternFill patternType="solid">
          <fgColor indexed="65"/>
          <bgColor rgb="FFCCCCFF"/>
        </patternFill>
      </fill>
      <alignment horizontal="center" wrapText="1" readingOrder="0"/>
      <border/>
    </dxf>
    <dxf>
      <fill>
        <patternFill>
          <bgColor rgb="FFFF99CC"/>
        </patternFill>
      </fill>
      <border/>
    </dxf>
    <dxf>
      <font>
        <b/>
      </font>
      <fill>
        <patternFill patternType="solid">
          <fgColor indexed="65"/>
          <bgColor rgb="FFFF99CC"/>
        </patternFill>
      </fill>
      <alignment horizontal="center" vertical="center" wrapText="1" readingOrder="0"/>
      <border/>
    </dxf>
    <dxf>
      <fill>
        <patternFill>
          <bgColor rgb="FFCCFFCC"/>
        </patternFill>
      </fill>
      <border/>
    </dxf>
    <dxf>
      <font>
        <b/>
      </font>
      <fill>
        <patternFill patternType="solid">
          <fgColor indexed="65"/>
          <bgColor rgb="FFCCFFCC"/>
        </patternFill>
      </fill>
      <alignment horizontal="center" vertical="center" wrapText="1" readingOrder="0"/>
      <border/>
    </dxf>
    <dxf>
      <fill>
        <patternFill>
          <bgColor rgb="FFCC99FF"/>
        </patternFill>
      </fill>
      <border/>
    </dxf>
    <dxf>
      <font>
        <b/>
      </font>
      <fill>
        <patternFill patternType="solid">
          <fgColor indexed="65"/>
          <bgColor rgb="FFCC99FF"/>
        </patternFill>
      </fill>
      <alignment horizontal="center" vertical="center" wrapText="1" readingOrder="0"/>
      <border/>
    </dxf>
    <dxf>
      <fill>
        <patternFill>
          <bgColor rgb="FFCCFFFF"/>
        </patternFill>
      </fill>
      <border/>
    </dxf>
    <dxf>
      <font>
        <b/>
      </font>
      <fill>
        <patternFill patternType="solid">
          <fgColor indexed="65"/>
          <bgColor rgb="FFCCFFFF"/>
        </patternFill>
      </fill>
      <alignment horizontal="center" vertical="center" wrapText="1" readingOrder="0"/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CC99"/>
        </patternFill>
      </fill>
      <border/>
    </dxf>
    <dxf>
      <font>
        <b/>
      </font>
      <fill>
        <patternFill patternType="solid">
          <fgColor indexed="65"/>
          <bgColor rgb="FFFFCC99"/>
        </patternFill>
      </fill>
      <alignment horizontal="center" vertical="center" wrapText="1" readingOrder="0"/>
      <border/>
    </dxf>
    <dxf>
      <fill>
        <patternFill patternType="solid">
          <bgColor rgb="FFFFCC99"/>
        </patternFill>
      </fill>
      <border/>
    </dxf>
    <dxf>
      <fill>
        <patternFill patternType="solid">
          <fgColor indexed="65"/>
          <bgColor rgb="FFFFCC99"/>
        </patternFill>
      </fill>
      <border/>
    </dxf>
    <dxf>
      <font>
        <b/>
      </font>
      <fill>
        <patternFill patternType="solid">
          <fgColor indexed="65"/>
          <bgColor rgb="FFCCCCFF"/>
        </patternFill>
      </fill>
      <alignment horizontal="center" vertical="center" wrapText="1" readingOrder="0"/>
      <border/>
    </dxf>
    <dxf>
      <fill>
        <patternFill patternType="solid">
          <bgColor rgb="FFFF99CC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fgColor indexed="65"/>
          <bgColor rgb="FFCCFFCC"/>
        </patternFill>
      </fill>
      <border/>
    </dxf>
    <dxf>
      <fill>
        <patternFill patternType="solid">
          <bgColor rgb="FFCC99FF"/>
        </patternFill>
      </fill>
      <border/>
    </dxf>
    <dxf>
      <font>
        <color rgb="FFCC99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Atrio!A1" /><Relationship Id="rId2" Type="http://schemas.openxmlformats.org/officeDocument/2006/relationships/hyperlink" Target="#'Health Net'!A1" /><Relationship Id="rId3" Type="http://schemas.openxmlformats.org/officeDocument/2006/relationships/hyperlink" Target="#Kaiser!A1" /><Relationship Id="rId4" Type="http://schemas.openxmlformats.org/officeDocument/2006/relationships/hyperlink" Target="#LifeWise!A1" /><Relationship Id="rId5" Type="http://schemas.openxmlformats.org/officeDocument/2006/relationships/hyperlink" Target="#Moda!A1" /><Relationship Id="rId6" Type="http://schemas.openxmlformats.org/officeDocument/2006/relationships/hyperlink" Target="#OHC!A1" /><Relationship Id="rId7" Type="http://schemas.openxmlformats.org/officeDocument/2006/relationships/hyperlink" Target="#PacificSource!A1" /><Relationship Id="rId8" Type="http://schemas.openxmlformats.org/officeDocument/2006/relationships/hyperlink" Target="#Providence!A1" /><Relationship Id="rId9" Type="http://schemas.openxmlformats.org/officeDocument/2006/relationships/hyperlink" Target="#Regence!A1" /><Relationship Id="rId10" Type="http://schemas.openxmlformats.org/officeDocument/2006/relationships/hyperlink" Target="#Samaritan!A1" /><Relationship Id="rId11" Type="http://schemas.openxmlformats.org/officeDocument/2006/relationships/hyperlink" Target="#Trillium!A1" /><Relationship Id="rId12" Type="http://schemas.openxmlformats.org/officeDocument/2006/relationships/hyperlink" Target="#Zoom!A1" /><Relationship Id="rId13" Type="http://schemas.openxmlformats.org/officeDocument/2006/relationships/hyperlink" Target="#Summary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2</xdr:col>
      <xdr:colOff>457200</xdr:colOff>
      <xdr:row>7</xdr:row>
      <xdr:rowOff>133350</xdr:rowOff>
    </xdr:to>
    <xdr:sp>
      <xdr:nvSpPr>
        <xdr:cNvPr id="1" name="Rounded Rectangle 2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8EB4E3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Updated Q4</a:t>
          </a:r>
          <a:r>
            <a:rPr lang="en-US" cap="none" sz="1400" b="0" i="0" u="none" baseline="0">
              <a:solidFill>
                <a:srgbClr val="000000"/>
              </a:solidFill>
            </a:rPr>
            <a:t> 2018</a:t>
          </a:r>
        </a:p>
      </xdr:txBody>
    </xdr:sp>
    <xdr:clientData/>
  </xdr:twoCellAnchor>
  <xdr:twoCellAnchor editAs="absolute">
    <xdr:from>
      <xdr:col>2</xdr:col>
      <xdr:colOff>514350</xdr:colOff>
      <xdr:row>0</xdr:row>
      <xdr:rowOff>38100</xdr:rowOff>
    </xdr:from>
    <xdr:to>
      <xdr:col>12</xdr:col>
      <xdr:colOff>647700</xdr:colOff>
      <xdr:row>7</xdr:row>
      <xdr:rowOff>133350</xdr:rowOff>
    </xdr:to>
    <xdr:sp>
      <xdr:nvSpPr>
        <xdr:cNvPr id="2" name="Rounded Rectangle 3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8EB4E3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609600</xdr:colOff>
      <xdr:row>0</xdr:row>
      <xdr:rowOff>123825</xdr:rowOff>
    </xdr:from>
    <xdr:to>
      <xdr:col>5</xdr:col>
      <xdr:colOff>19050</xdr:colOff>
      <xdr:row>2</xdr:row>
      <xdr:rowOff>142875</xdr:rowOff>
    </xdr:to>
    <xdr:sp>
      <xdr:nvSpPr>
        <xdr:cNvPr id="3" name="Rounded Rectangle 4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104775</xdr:colOff>
      <xdr:row>0</xdr:row>
      <xdr:rowOff>123825</xdr:rowOff>
    </xdr:from>
    <xdr:to>
      <xdr:col>7</xdr:col>
      <xdr:colOff>342900</xdr:colOff>
      <xdr:row>2</xdr:row>
      <xdr:rowOff>142875</xdr:rowOff>
    </xdr:to>
    <xdr:sp>
      <xdr:nvSpPr>
        <xdr:cNvPr id="4" name="Rounded Rectangle 7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7</xdr:col>
      <xdr:colOff>438150</xdr:colOff>
      <xdr:row>0</xdr:row>
      <xdr:rowOff>123825</xdr:rowOff>
    </xdr:from>
    <xdr:to>
      <xdr:col>9</xdr:col>
      <xdr:colOff>666750</xdr:colOff>
      <xdr:row>2</xdr:row>
      <xdr:rowOff>142875</xdr:rowOff>
    </xdr:to>
    <xdr:sp>
      <xdr:nvSpPr>
        <xdr:cNvPr id="5" name="Rounded Rectangle 8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9</xdr:col>
      <xdr:colOff>752475</xdr:colOff>
      <xdr:row>0</xdr:row>
      <xdr:rowOff>123825</xdr:rowOff>
    </xdr:from>
    <xdr:to>
      <xdr:col>12</xdr:col>
      <xdr:colOff>552450</xdr:colOff>
      <xdr:row>2</xdr:row>
      <xdr:rowOff>142875</xdr:rowOff>
    </xdr:to>
    <xdr:sp>
      <xdr:nvSpPr>
        <xdr:cNvPr id="6" name="Rounded Rectangle 9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2</xdr:col>
      <xdr:colOff>609600</xdr:colOff>
      <xdr:row>2</xdr:row>
      <xdr:rowOff>190500</xdr:rowOff>
    </xdr:from>
    <xdr:to>
      <xdr:col>5</xdr:col>
      <xdr:colOff>19050</xdr:colOff>
      <xdr:row>4</xdr:row>
      <xdr:rowOff>209550</xdr:rowOff>
    </xdr:to>
    <xdr:sp>
      <xdr:nvSpPr>
        <xdr:cNvPr id="7" name="Rounded Rectangle 10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104775</xdr:colOff>
      <xdr:row>2</xdr:row>
      <xdr:rowOff>190500</xdr:rowOff>
    </xdr:from>
    <xdr:to>
      <xdr:col>7</xdr:col>
      <xdr:colOff>342900</xdr:colOff>
      <xdr:row>4</xdr:row>
      <xdr:rowOff>209550</xdr:rowOff>
    </xdr:to>
    <xdr:sp>
      <xdr:nvSpPr>
        <xdr:cNvPr id="8" name="Rounded Rectangle 11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7</xdr:col>
      <xdr:colOff>438150</xdr:colOff>
      <xdr:row>2</xdr:row>
      <xdr:rowOff>190500</xdr:rowOff>
    </xdr:from>
    <xdr:to>
      <xdr:col>9</xdr:col>
      <xdr:colOff>666750</xdr:colOff>
      <xdr:row>4</xdr:row>
      <xdr:rowOff>209550</xdr:rowOff>
    </xdr:to>
    <xdr:sp>
      <xdr:nvSpPr>
        <xdr:cNvPr id="9" name="Rounded Rectangle 12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9</xdr:col>
      <xdr:colOff>752475</xdr:colOff>
      <xdr:row>2</xdr:row>
      <xdr:rowOff>190500</xdr:rowOff>
    </xdr:from>
    <xdr:to>
      <xdr:col>12</xdr:col>
      <xdr:colOff>552450</xdr:colOff>
      <xdr:row>4</xdr:row>
      <xdr:rowOff>209550</xdr:rowOff>
    </xdr:to>
    <xdr:sp>
      <xdr:nvSpPr>
        <xdr:cNvPr id="10" name="Rounded Rectangle 13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2</xdr:col>
      <xdr:colOff>609600</xdr:colOff>
      <xdr:row>5</xdr:row>
      <xdr:rowOff>28575</xdr:rowOff>
    </xdr:from>
    <xdr:to>
      <xdr:col>5</xdr:col>
      <xdr:colOff>19050</xdr:colOff>
      <xdr:row>7</xdr:row>
      <xdr:rowOff>47625</xdr:rowOff>
    </xdr:to>
    <xdr:sp>
      <xdr:nvSpPr>
        <xdr:cNvPr id="11" name="Rounded Rectangle 14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104775</xdr:colOff>
      <xdr:row>5</xdr:row>
      <xdr:rowOff>28575</xdr:rowOff>
    </xdr:from>
    <xdr:to>
      <xdr:col>7</xdr:col>
      <xdr:colOff>342900</xdr:colOff>
      <xdr:row>7</xdr:row>
      <xdr:rowOff>47625</xdr:rowOff>
    </xdr:to>
    <xdr:sp>
      <xdr:nvSpPr>
        <xdr:cNvPr id="12" name="Rounded Rectangle 15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7</xdr:col>
      <xdr:colOff>438150</xdr:colOff>
      <xdr:row>5</xdr:row>
      <xdr:rowOff>28575</xdr:rowOff>
    </xdr:from>
    <xdr:to>
      <xdr:col>9</xdr:col>
      <xdr:colOff>666750</xdr:colOff>
      <xdr:row>7</xdr:row>
      <xdr:rowOff>47625</xdr:rowOff>
    </xdr:to>
    <xdr:sp>
      <xdr:nvSpPr>
        <xdr:cNvPr id="13" name="Rounded Rectangle 16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9</xdr:col>
      <xdr:colOff>752475</xdr:colOff>
      <xdr:row>5</xdr:row>
      <xdr:rowOff>28575</xdr:rowOff>
    </xdr:from>
    <xdr:to>
      <xdr:col>12</xdr:col>
      <xdr:colOff>552450</xdr:colOff>
      <xdr:row>7</xdr:row>
      <xdr:rowOff>47625</xdr:rowOff>
    </xdr:to>
    <xdr:sp>
      <xdr:nvSpPr>
        <xdr:cNvPr id="14" name="Rounded Rectangle 17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Plan, Inc.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2</xdr:col>
      <xdr:colOff>400050</xdr:colOff>
      <xdr:row>7</xdr:row>
      <xdr:rowOff>0</xdr:rowOff>
    </xdr:to>
    <xdr:sp>
      <xdr:nvSpPr>
        <xdr:cNvPr id="15" name="Rounded Rectangle 18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558ED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Summary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8EB4E3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8EB4E3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558ED5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C6D9F1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E6B9B8"/>
        </a:solidFill>
        <a:ln w="25400" cmpd="sng">
          <a:solidFill>
            <a:srgbClr val="63252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E6B9B8"/>
        </a:solidFill>
        <a:ln w="25400" cmpd="sng">
          <a:solidFill>
            <a:srgbClr val="63252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D99694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Samaritan Health </a:t>
          </a:r>
          <a:r>
            <a:rPr lang="en-US" cap="none" sz="1600" b="1" i="0" u="none" baseline="0">
              <a:solidFill>
                <a:srgbClr val="000000"/>
              </a:solidFill>
            </a:rPr>
            <a:t>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 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C3D69B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CCC1DA"/>
        </a:solidFill>
        <a:ln w="25400" cmpd="sng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CCC1DA"/>
        </a:solidFill>
        <a:ln w="25400" cmpd="sng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B3A2C7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2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DDD9C3"/>
        </a:solidFill>
        <a:ln w="25400" cmpd="sng">
          <a:solidFill>
            <a:srgbClr val="4A452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3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DDD9C3"/>
        </a:solidFill>
        <a:ln w="25400" cmpd="sng">
          <a:solidFill>
            <a:srgbClr val="4A452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4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C4BD97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5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6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7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8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9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10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1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2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3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4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5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6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 Q4</a:t>
          </a:r>
          <a:r>
            <a:rPr lang="en-US" cap="none" sz="1400" b="0" i="0" u="none" baseline="0">
              <a:solidFill>
                <a:srgbClr val="000000"/>
              </a:solidFill>
            </a:rPr>
            <a:t> 2018 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95B3D7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DCE6F2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E6B9B8"/>
        </a:solidFill>
        <a:ln w="25400" cmpd="sng">
          <a:solidFill>
            <a:srgbClr val="63252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E6B9B8"/>
        </a:solidFill>
        <a:ln w="25400" cmpd="sng">
          <a:solidFill>
            <a:srgbClr val="63252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D99694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F2DCDB"/>
        </a:solidFill>
        <a:ln w="1905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D7E4BD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C3D69B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EBF1DE"/>
        </a:solidFill>
        <a:ln w="19050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CCC1DA"/>
        </a:solidFill>
        <a:ln w="25400" cmpd="sng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CCC1DA"/>
        </a:solidFill>
        <a:ln w="25400" cmpd="sng">
          <a:solidFill>
            <a:srgbClr val="40315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B3A2C7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E6E0EC"/>
        </a:solidFill>
        <a:ln w="19050" cmpd="sng">
          <a:solidFill>
            <a:srgbClr val="40315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B7DEE8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B7DEE8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93CDDD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DBEEF4"/>
        </a:solidFill>
        <a:ln w="19050" cmpd="sng">
          <a:solidFill>
            <a:srgbClr val="21596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FCD5B5"/>
        </a:solidFill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</a:t>
          </a:r>
          <a:r>
            <a:rPr lang="en-US" cap="none" sz="1400" b="0" i="0" u="none" baseline="0">
              <a:solidFill>
                <a:srgbClr val="000000"/>
              </a:solidFill>
            </a:rPr>
            <a:t> Q4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FCD5B5"/>
        </a:solidFill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FAC090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FDEADA"/>
        </a:solidFill>
        <a:ln w="1905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180975</xdr:colOff>
      <xdr:row>7</xdr:row>
      <xdr:rowOff>133350</xdr:rowOff>
    </xdr:to>
    <xdr:sp>
      <xdr:nvSpPr>
        <xdr:cNvPr id="1" name="Rounded Rectangle 1"/>
        <xdr:cNvSpPr>
          <a:spLocks/>
        </xdr:cNvSpPr>
      </xdr:nvSpPr>
      <xdr:spPr>
        <a:xfrm>
          <a:off x="38100" y="38100"/>
          <a:ext cx="2057400" cy="1695450"/>
        </a:xfrm>
        <a:prstGeom prst="roundRect">
          <a:avLst/>
        </a:prstGeom>
        <a:solidFill>
          <a:srgbClr val="DDD9C3"/>
        </a:solidFill>
        <a:ln w="25400" cmpd="sng">
          <a:solidFill>
            <a:srgbClr val="4A452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</a:rPr>
            <a:t>Oregon Domestic's Financial Report
</a:t>
          </a:r>
          <a:r>
            <a:rPr lang="en-US" cap="none" sz="1400" b="0" i="0" u="none" baseline="0">
              <a:solidFill>
                <a:srgbClr val="000000"/>
              </a:solidFill>
            </a:rPr>
            <a:t>Updated Q4</a:t>
          </a:r>
          <a:r>
            <a:rPr lang="en-US" cap="none" sz="1400" b="0" i="0" u="none" baseline="0">
              <a:solidFill>
                <a:srgbClr val="000000"/>
              </a:solidFill>
            </a:rPr>
            <a:t> 2018</a:t>
          </a:r>
        </a:p>
      </xdr:txBody>
    </xdr:sp>
    <xdr:clientData/>
  </xdr:twoCellAnchor>
  <xdr:twoCellAnchor editAs="absolute">
    <xdr:from>
      <xdr:col>3</xdr:col>
      <xdr:colOff>238125</xdr:colOff>
      <xdr:row>0</xdr:row>
      <xdr:rowOff>38100</xdr:rowOff>
    </xdr:from>
    <xdr:to>
      <xdr:col>12</xdr:col>
      <xdr:colOff>971550</xdr:colOff>
      <xdr:row>7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2152650" y="38100"/>
          <a:ext cx="9601200" cy="1695450"/>
        </a:xfrm>
        <a:prstGeom prst="roundRect">
          <a:avLst/>
        </a:prstGeom>
        <a:solidFill>
          <a:srgbClr val="DDD9C3"/>
        </a:solidFill>
        <a:ln w="25400" cmpd="sng">
          <a:solidFill>
            <a:srgbClr val="4A452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0</xdr:row>
      <xdr:rowOff>123825</xdr:rowOff>
    </xdr:from>
    <xdr:to>
      <xdr:col>5</xdr:col>
      <xdr:colOff>657225</xdr:colOff>
      <xdr:row>2</xdr:row>
      <xdr:rowOff>142875</xdr:rowOff>
    </xdr:to>
    <xdr:sp>
      <xdr:nvSpPr>
        <xdr:cNvPr id="3" name="Rounded Rectangle 3">
          <a:hlinkClick r:id="rId1"/>
        </xdr:cNvPr>
        <xdr:cNvSpPr>
          <a:spLocks/>
        </xdr:cNvSpPr>
      </xdr:nvSpPr>
      <xdr:spPr>
        <a:xfrm>
          <a:off x="2247900" y="12382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Atrio Health Plans</a:t>
          </a:r>
        </a:p>
      </xdr:txBody>
    </xdr:sp>
    <xdr:clientData/>
  </xdr:twoCellAnchor>
  <xdr:twoCellAnchor editAs="absolute">
    <xdr:from>
      <xdr:col>5</xdr:col>
      <xdr:colOff>742950</xdr:colOff>
      <xdr:row>0</xdr:row>
      <xdr:rowOff>123825</xdr:rowOff>
    </xdr:from>
    <xdr:to>
      <xdr:col>8</xdr:col>
      <xdr:colOff>85725</xdr:colOff>
      <xdr:row>2</xdr:row>
      <xdr:rowOff>142875</xdr:rowOff>
    </xdr:to>
    <xdr:sp>
      <xdr:nvSpPr>
        <xdr:cNvPr id="4" name="Rounded Rectangle 4">
          <a:hlinkClick r:id="rId2"/>
        </xdr:cNvPr>
        <xdr:cNvSpPr>
          <a:spLocks/>
        </xdr:cNvSpPr>
      </xdr:nvSpPr>
      <xdr:spPr>
        <a:xfrm>
          <a:off x="4619625" y="12382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Health Net Health Plan</a:t>
          </a:r>
        </a:p>
      </xdr:txBody>
    </xdr:sp>
    <xdr:clientData/>
  </xdr:twoCellAnchor>
  <xdr:twoCellAnchor editAs="absolute">
    <xdr:from>
      <xdr:col>8</xdr:col>
      <xdr:colOff>180975</xdr:colOff>
      <xdr:row>0</xdr:row>
      <xdr:rowOff>123825</xdr:rowOff>
    </xdr:from>
    <xdr:to>
      <xdr:col>10</xdr:col>
      <xdr:colOff>466725</xdr:colOff>
      <xdr:row>2</xdr:row>
      <xdr:rowOff>142875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000875" y="12382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Kaiser Fnd HP NW</a:t>
          </a:r>
        </a:p>
      </xdr:txBody>
    </xdr:sp>
    <xdr:clientData/>
  </xdr:twoCellAnchor>
  <xdr:twoCellAnchor editAs="absolute">
    <xdr:from>
      <xdr:col>10</xdr:col>
      <xdr:colOff>552450</xdr:colOff>
      <xdr:row>0</xdr:row>
      <xdr:rowOff>123825</xdr:rowOff>
    </xdr:from>
    <xdr:to>
      <xdr:col>12</xdr:col>
      <xdr:colOff>876300</xdr:colOff>
      <xdr:row>2</xdr:row>
      <xdr:rowOff>142875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9372600" y="12382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LifeWise Health Plan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190500</xdr:rowOff>
    </xdr:from>
    <xdr:to>
      <xdr:col>5</xdr:col>
      <xdr:colOff>657225</xdr:colOff>
      <xdr:row>4</xdr:row>
      <xdr:rowOff>209550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247900" y="647700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Moda Health Plan</a:t>
          </a:r>
        </a:p>
      </xdr:txBody>
    </xdr:sp>
    <xdr:clientData/>
  </xdr:twoCellAnchor>
  <xdr:twoCellAnchor editAs="absolute">
    <xdr:from>
      <xdr:col>5</xdr:col>
      <xdr:colOff>742950</xdr:colOff>
      <xdr:row>2</xdr:row>
      <xdr:rowOff>190500</xdr:rowOff>
    </xdr:from>
    <xdr:to>
      <xdr:col>8</xdr:col>
      <xdr:colOff>85725</xdr:colOff>
      <xdr:row>4</xdr:row>
      <xdr:rowOff>209550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619625" y="647700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Oregon's Health CO-OP</a:t>
          </a:r>
        </a:p>
      </xdr:txBody>
    </xdr:sp>
    <xdr:clientData/>
  </xdr:twoCellAnchor>
  <xdr:twoCellAnchor editAs="absolute">
    <xdr:from>
      <xdr:col>8</xdr:col>
      <xdr:colOff>180975</xdr:colOff>
      <xdr:row>2</xdr:row>
      <xdr:rowOff>190500</xdr:rowOff>
    </xdr:from>
    <xdr:to>
      <xdr:col>10</xdr:col>
      <xdr:colOff>466725</xdr:colOff>
      <xdr:row>4</xdr:row>
      <xdr:rowOff>209550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7000875" y="647700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PacificSource Hlth Plan</a:t>
          </a:r>
        </a:p>
      </xdr:txBody>
    </xdr:sp>
    <xdr:clientData/>
  </xdr:twoCellAnchor>
  <xdr:twoCellAnchor editAs="absolute">
    <xdr:from>
      <xdr:col>10</xdr:col>
      <xdr:colOff>552450</xdr:colOff>
      <xdr:row>2</xdr:row>
      <xdr:rowOff>190500</xdr:rowOff>
    </xdr:from>
    <xdr:to>
      <xdr:col>12</xdr:col>
      <xdr:colOff>876300</xdr:colOff>
      <xdr:row>4</xdr:row>
      <xdr:rowOff>209550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9372600" y="647700"/>
          <a:ext cx="2286000" cy="476250"/>
        </a:xfrm>
        <a:prstGeom prst="roundRect">
          <a:avLst/>
        </a:prstGeom>
        <a:solidFill>
          <a:srgbClr val="C4BD97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Providence Health Plan</a:t>
          </a:r>
        </a:p>
      </xdr:txBody>
    </xdr:sp>
    <xdr:clientData/>
  </xdr:twoCellAnchor>
  <xdr:twoCellAnchor editAs="absolute">
    <xdr:from>
      <xdr:col>3</xdr:col>
      <xdr:colOff>333375</xdr:colOff>
      <xdr:row>5</xdr:row>
      <xdr:rowOff>28575</xdr:rowOff>
    </xdr:from>
    <xdr:to>
      <xdr:col>5</xdr:col>
      <xdr:colOff>657225</xdr:colOff>
      <xdr:row>7</xdr:row>
      <xdr:rowOff>47625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2247900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Regence BCBS OR</a:t>
          </a:r>
        </a:p>
      </xdr:txBody>
    </xdr:sp>
    <xdr:clientData/>
  </xdr:twoCellAnchor>
  <xdr:twoCellAnchor editAs="absolute">
    <xdr:from>
      <xdr:col>5</xdr:col>
      <xdr:colOff>742950</xdr:colOff>
      <xdr:row>5</xdr:row>
      <xdr:rowOff>28575</xdr:rowOff>
    </xdr:from>
    <xdr:to>
      <xdr:col>8</xdr:col>
      <xdr:colOff>85725</xdr:colOff>
      <xdr:row>7</xdr:row>
      <xdr:rowOff>47625</xdr:rowOff>
    </xdr:to>
    <xdr:sp>
      <xdr:nvSpPr>
        <xdr:cNvPr id="12" name="Rounded Rectangle 12">
          <a:hlinkClick r:id="rId10"/>
        </xdr:cNvPr>
        <xdr:cNvSpPr>
          <a:spLocks/>
        </xdr:cNvSpPr>
      </xdr:nvSpPr>
      <xdr:spPr>
        <a:xfrm>
          <a:off x="4619625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Samaritan Health Plan</a:t>
          </a:r>
        </a:p>
      </xdr:txBody>
    </xdr:sp>
    <xdr:clientData/>
  </xdr:twoCellAnchor>
  <xdr:twoCellAnchor editAs="absolute">
    <xdr:from>
      <xdr:col>8</xdr:col>
      <xdr:colOff>180975</xdr:colOff>
      <xdr:row>5</xdr:row>
      <xdr:rowOff>28575</xdr:rowOff>
    </xdr:from>
    <xdr:to>
      <xdr:col>10</xdr:col>
      <xdr:colOff>466725</xdr:colOff>
      <xdr:row>7</xdr:row>
      <xdr:rowOff>47625</xdr:rowOff>
    </xdr:to>
    <xdr:sp>
      <xdr:nvSpPr>
        <xdr:cNvPr id="13" name="Rounded Rectangle 13">
          <a:hlinkClick r:id="rId11"/>
        </xdr:cNvPr>
        <xdr:cNvSpPr>
          <a:spLocks/>
        </xdr:cNvSpPr>
      </xdr:nvSpPr>
      <xdr:spPr>
        <a:xfrm>
          <a:off x="7000875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Trillium Comm Hlth Pln</a:t>
          </a:r>
        </a:p>
      </xdr:txBody>
    </xdr:sp>
    <xdr:clientData/>
  </xdr:twoCellAnchor>
  <xdr:twoCellAnchor editAs="absolute">
    <xdr:from>
      <xdr:col>10</xdr:col>
      <xdr:colOff>552450</xdr:colOff>
      <xdr:row>5</xdr:row>
      <xdr:rowOff>28575</xdr:rowOff>
    </xdr:from>
    <xdr:to>
      <xdr:col>12</xdr:col>
      <xdr:colOff>876300</xdr:colOff>
      <xdr:row>7</xdr:row>
      <xdr:rowOff>47625</xdr:rowOff>
    </xdr:to>
    <xdr:sp>
      <xdr:nvSpPr>
        <xdr:cNvPr id="14" name="Rounded Rectangle 14">
          <a:hlinkClick r:id="rId12"/>
        </xdr:cNvPr>
        <xdr:cNvSpPr>
          <a:spLocks/>
        </xdr:cNvSpPr>
      </xdr:nvSpPr>
      <xdr:spPr>
        <a:xfrm>
          <a:off x="9372600" y="1171575"/>
          <a:ext cx="2286000" cy="47625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Zoom Health Plan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0</xdr:rowOff>
    </xdr:from>
    <xdr:to>
      <xdr:col>3</xdr:col>
      <xdr:colOff>123825</xdr:colOff>
      <xdr:row>7</xdr:row>
      <xdr:rowOff>0</xdr:rowOff>
    </xdr:to>
    <xdr:sp>
      <xdr:nvSpPr>
        <xdr:cNvPr id="15" name="Rounded Rectangle 15">
          <a:hlinkClick r:id="rId13"/>
        </xdr:cNvPr>
        <xdr:cNvSpPr>
          <a:spLocks/>
        </xdr:cNvSpPr>
      </xdr:nvSpPr>
      <xdr:spPr>
        <a:xfrm>
          <a:off x="114300" y="1143000"/>
          <a:ext cx="1924050" cy="457200"/>
        </a:xfrm>
        <a:prstGeom prst="roundRect">
          <a:avLst/>
        </a:prstGeom>
        <a:solidFill>
          <a:srgbClr val="EEECE1"/>
        </a:solidFill>
        <a:ln w="19050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Summary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Page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7">
    <cacheField name="Health Insurers">
      <sharedItems containsMixedTypes="0" count="12">
        <s v="Atrio Health Plans"/>
        <s v="Health Net Health Plan"/>
        <s v="Kaiser Fnd HP NW"/>
        <s v="LifeWise Health Plan"/>
        <s v="Moda Health Plan"/>
        <s v="PacificSource Hlth Plan"/>
        <s v="Providence Health Plan"/>
        <s v="Regence BCBS OR"/>
        <s v="Samaritan Health Plan"/>
        <s v="Trillium Comm Health Plan"/>
        <s v="Oregon's Health CO-OP"/>
        <s v="Zoom Health Plan, Inc."/>
      </sharedItems>
    </cacheField>
    <cacheField name="Quarter">
      <sharedItems containsMixedTypes="0"/>
    </cacheField>
    <cacheField name="Year">
      <sharedItems containsSemiMixedTypes="0" containsString="0" containsMixedTypes="0" containsNumber="1" containsInteger="1" count="10"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Year-Qtr">
      <sharedItems containsMixedTypes="0" count="22">
        <s v="2009"/>
        <s v="2010"/>
        <s v="2011"/>
        <s v="2012"/>
        <s v="2013"/>
        <s v="2014"/>
        <s v="2015-Q1"/>
        <s v="2015-Q2"/>
        <s v="2015-Q3"/>
        <s v="2015-Q4"/>
        <s v="2016-Q1"/>
        <s v="2016-Q2"/>
        <s v="2016-Q3"/>
        <s v="2016-Q4"/>
        <s v="2017-Q1"/>
        <s v="2017-Q2"/>
        <s v="2017-Q3"/>
        <s v="2017-Q4"/>
        <s v="2018-Q1"/>
        <s v="2018-Q2"/>
        <s v="2018-Q3"/>
        <s v="2018-Q4"/>
      </sharedItems>
    </cacheField>
    <cacheField name="Assets">
      <sharedItems containsSemiMixedTypes="0" containsString="0" containsMixedTypes="0" containsNumber="1" containsInteger="1"/>
    </cacheField>
    <cacheField name="Surplus">
      <sharedItems containsSemiMixedTypes="0" containsString="0" containsMixedTypes="0" containsNumber="1" containsInteger="1"/>
    </cacheField>
    <cacheField name="Claims &amp; LAE Reserve">
      <sharedItems containsSemiMixedTypes="0" containsString="0" containsMixedTypes="0" containsNumber="1" containsInteger="1"/>
    </cacheField>
    <cacheField name="Earned Premium">
      <sharedItems containsSemiMixedTypes="0" containsString="0" containsMixedTypes="0" containsNumber="1" containsInteger="1"/>
    </cacheField>
    <cacheField name="Total Revenues">
      <sharedItems containsSemiMixedTypes="0" containsString="0" containsMixedTypes="0" containsNumber="1" containsInteger="1"/>
    </cacheField>
    <cacheField name="Total Medical Claims">
      <sharedItems containsSemiMixedTypes="0" containsString="0" containsMixedTypes="0" containsNumber="1" containsInteger="1"/>
    </cacheField>
    <cacheField name="Claims Adj. &amp; General Admin. Expenses">
      <sharedItems containsSemiMixedTypes="0" containsString="0" containsMixedTypes="0" containsNumber="1" containsInteger="1"/>
    </cacheField>
    <cacheField name="Net Underwriting Gain/(Loss)">
      <sharedItems containsSemiMixedTypes="0" containsString="0" containsMixedTypes="0" containsNumber="1" containsInteger="1"/>
    </cacheField>
    <cacheField name="Net Income">
      <sharedItems containsSemiMixedTypes="0" containsString="0" containsMixedTypes="0" containsNumber="1" containsInteger="1"/>
    </cacheField>
    <cacheField name="Medical Loss Ratio">
      <sharedItems containsMixedTypes="1" containsNumber="1"/>
    </cacheField>
    <cacheField name="Administrative Expense Ratio">
      <sharedItems containsMixedTypes="1" containsNumber="1"/>
    </cacheField>
    <cacheField name="Medical Loss Ratio (%)" formula="'Total Medical Claims'/'Earned Premium'" databaseField="0"/>
    <cacheField name="Administrative Expense Ratio (%)" formula="'Claims Adj. &amp; General Admin. Expenses'/'Earned Premium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3:M23" firstHeaderRow="0" firstDataRow="1" firstDataCol="1" rowPageCount="1" colPageCount="1"/>
  <pivotFields count="17">
    <pivotField axis="axisRow" showAll="0" sortType="ascending">
      <items count="13">
        <item x="0"/>
        <item x="1"/>
        <item x="2"/>
        <item x="3"/>
        <item x="4"/>
        <item n="Oregon's Health CO-OP" x="10"/>
        <item x="5"/>
        <item x="6"/>
        <item x="7"/>
        <item x="8"/>
        <item x="9"/>
        <item n="Zoom Health Plan" x="11"/>
        <item t="default"/>
      </items>
    </pivotField>
    <pivotField showAll="0"/>
    <pivotField showAll="0"/>
    <pivotField axis="axisPage" showAll="0" defaultSubtotal="0">
      <items count="22">
        <item x="9"/>
        <item x="10"/>
        <item x="11"/>
        <item x="8"/>
        <item x="7"/>
        <item x="6"/>
        <item x="5"/>
        <item x="4"/>
        <item x="3"/>
        <item x="2"/>
        <item x="1"/>
        <item x="0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dataField="1" showAll="0"/>
    <pivotField dataField="1" showAll="0"/>
    <pivotField showAll="0" dragToRow="0" dragToCol="0" dragToPage="0" defaultSubtotal="0"/>
    <pivotField showAll="0" dragToRow="0" dragToCol="0" dragToPage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3" item="21" hier="0"/>
  </pageFields>
  <dataFields count="11">
    <dataField name="Assets " fld="4" baseField="0" baseItem="0" numFmtId="164"/>
    <dataField name="Surplus " fld="5" baseField="0" baseItem="0" numFmtId="164"/>
    <dataField name="Claims &amp; Loss Adjustment Expense Reserve " fld="6" baseField="0" baseItem="0" numFmtId="164"/>
    <dataField name="Earned Premium " fld="7" baseField="0" baseItem="0" numFmtId="164"/>
    <dataField name="Total 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 Income " fld="12" baseField="0" baseItem="0" numFmtId="164"/>
    <dataField name="Medical Loss Ratio " fld="13" baseField="0" baseItem="0" numFmtId="10"/>
    <dataField name="Admin Expense Ratio " fld="14" baseField="0" baseItem="8" numFmtId="10"/>
  </dataFields>
  <formats count="35">
    <format dxfId="0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">
      <pivotArea outline="0" fieldPosition="0" axis="axisRow" dataOnly="0" field="0" labelOnly="1" type="button"/>
    </format>
    <format dxfId="3">
      <pivotArea outline="0" fieldPosition="0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5">
      <pivotArea outline="0" fieldPosition="0" dataOnly="0" type="all"/>
    </format>
    <format dxfId="3">
      <pivotArea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0" count="1">
            <x v="0"/>
          </reference>
        </references>
      </pivotArea>
    </format>
    <format dxfId="6">
      <pivotArea outline="0" fieldPosition="0">
        <references count="2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  <reference field="0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">
      <pivotArea outline="0" fieldPosition="0">
        <references count="2">
          <reference field="4294967294" count="1">
            <x v="3"/>
          </reference>
          <reference field="0" count="1">
            <x v="7"/>
          </reference>
        </references>
      </pivotArea>
    </format>
    <format dxfId="7">
      <pivotArea outline="0" fieldPosition="0" axis="axisRow" dataOnly="0" field="0" labelOnly="1" type="button"/>
    </format>
    <format dxfId="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outline="0" fieldPosition="0" dataOnly="0">
        <references count="1">
          <reference field="0" count="5">
            <x v="2"/>
            <x v="4"/>
            <x v="6"/>
            <x v="8"/>
            <x v="10"/>
          </reference>
        </references>
      </pivotArea>
    </format>
    <format dxfId="7">
      <pivotArea outline="0" fieldPosition="0" dataOnly="0">
        <references count="2">
          <reference field="0" count="5">
            <x v="0"/>
            <x v="2"/>
            <x v="4"/>
            <x v="7"/>
            <x v="9"/>
          </reference>
          <reference field="3" count="1">
            <x v="15"/>
          </reference>
        </references>
      </pivotArea>
    </format>
    <format dxfId="9">
      <pivotArea outline="0" fieldPosition="0" dataOnly="0">
        <references count="2">
          <reference field="0" count="5">
            <x v="1"/>
            <x v="3"/>
            <x v="6"/>
            <x v="8"/>
            <x v="10"/>
          </reference>
          <reference field="3" count="1">
            <x v="15"/>
          </reference>
        </references>
      </pivotArea>
    </format>
    <format dxfId="10">
      <pivotArea outline="0" fieldPosition="0" dataOnly="0">
        <references count="2">
          <reference field="0" count="5">
            <x v="1"/>
            <x v="3"/>
            <x v="6"/>
            <x v="8"/>
            <x v="10"/>
          </reference>
          <reference field="3" count="1">
            <x v="18"/>
          </reference>
        </references>
      </pivotArea>
    </format>
    <format dxfId="10">
      <pivotArea outline="0" fieldPosition="0">
        <references count="1">
          <reference field="0" count="1">
            <x v="0"/>
          </reference>
        </references>
      </pivotArea>
    </format>
    <format dxfId="10">
      <pivotArea outline="0" fieldPosition="0">
        <references count="1">
          <reference field="0" count="1">
            <x v="2"/>
          </reference>
        </references>
      </pivotArea>
    </format>
    <format dxfId="10">
      <pivotArea outline="0" fieldPosition="0">
        <references count="1">
          <reference field="0" count="1">
            <x v="4"/>
          </reference>
        </references>
      </pivotArea>
    </format>
    <format dxfId="10">
      <pivotArea outline="0" fieldPosition="0">
        <references count="1">
          <reference field="0" count="1">
            <x v="7"/>
          </reference>
        </references>
      </pivotArea>
    </format>
    <format dxfId="10">
      <pivotArea outline="0" fieldPosition="0">
        <references count="1">
          <reference field="0" count="1">
            <x v="9"/>
          </reference>
        </references>
      </pivotArea>
    </format>
    <format dxfId="11">
      <pivotArea outline="0" fieldPosition="0"/>
    </format>
    <format dxfId="11">
      <pivotArea outline="0" fieldPosition="0" dataOnly="0" labelOnly="1">
        <references count="1">
          <reference field="0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10">
      <pivotArea outline="0" fieldPosition="0">
        <references count="1">
          <reference field="0" count="1">
            <x v="1"/>
          </reference>
        </references>
      </pivotArea>
    </format>
    <format dxfId="10">
      <pivotArea outline="0" fieldPosition="0" dataOnly="0" labelOnly="1">
        <references count="1">
          <reference field="0" count="1">
            <x v="1"/>
          </reference>
        </references>
      </pivotArea>
    </format>
    <format dxfId="10">
      <pivotArea outline="0" fieldPosition="0">
        <references count="1">
          <reference field="0" count="1">
            <x v="3"/>
          </reference>
        </references>
      </pivotArea>
    </format>
    <format dxfId="10">
      <pivotArea outline="0" fieldPosition="0" dataOnly="0" labelOnly="1">
        <references count="1">
          <reference field="0" count="1">
            <x v="3"/>
          </reference>
        </references>
      </pivotArea>
    </format>
    <format dxfId="10">
      <pivotArea outline="0" fieldPosition="0">
        <references count="1">
          <reference field="0" count="1">
            <x v="6"/>
          </reference>
        </references>
      </pivotArea>
    </format>
    <format dxfId="10">
      <pivotArea outline="0" fieldPosition="0" dataOnly="0" labelOnly="1">
        <references count="1">
          <reference field="0" count="1">
            <x v="6"/>
          </reference>
        </references>
      </pivotArea>
    </format>
    <format dxfId="10">
      <pivotArea outline="0" fieldPosition="0">
        <references count="1">
          <reference field="0" count="1">
            <x v="8"/>
          </reference>
        </references>
      </pivotArea>
    </format>
    <format dxfId="10">
      <pivotArea outline="0" fieldPosition="0" dataOnly="0" labelOnly="1">
        <references count="1">
          <reference field="0" count="1">
            <x v="8"/>
          </reference>
        </references>
      </pivotArea>
    </format>
    <format dxfId="10">
      <pivotArea outline="0" fieldPosition="0">
        <references count="1">
          <reference field="0" count="1">
            <x v="10"/>
          </reference>
        </references>
      </pivotArea>
    </format>
    <format dxfId="10">
      <pivotArea outline="0" fieldPosition="0" dataOnly="0" labelOnly="1">
        <references count="1">
          <reference field="0" count="1">
            <x v="10"/>
          </reference>
        </references>
      </pivotArea>
    </format>
    <format dxfId="12">
      <pivotArea outline="0" fieldPosition="0">
        <references count="2">
          <reference field="4294967294" count="2">
            <x v="7"/>
            <x v="8"/>
          </reference>
          <reference field="0" count="1">
            <x v="4"/>
          </reference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7">
      <pivotArea outline="0" fieldPosition="255" dataOnly="0" field="2" labelOnly="1" type="button"/>
    </format>
    <format dxfId="2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8">
      <pivotArea outline="0" fieldPosition="0" axis="axisRow" dataOnly="0" field="3" labelOnly="1" type="button"/>
    </format>
  </formats>
  <pivotTableStyleInfo name="PivotStyleLight2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7">
      <pivotArea outline="0" fieldPosition="255" dataOnly="0" field="2" labelOnly="1" type="button"/>
    </format>
    <format dxfId="2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8">
      <pivotArea outline="0" fieldPosition="0" axis="axisRow" dataOnly="0" field="3" labelOnly="1" type="button"/>
    </format>
  </formats>
  <pivotTableStyleInfo name="PivotStyleLight2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23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9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5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9">
      <pivotArea outline="0" fieldPosition="255" dataOnly="0" field="2" labelOnly="1" type="button"/>
    </format>
    <format dxfId="29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0">
      <pivotArea outline="0" fieldPosition="0" axis="axisRow" dataOnly="0" field="3" labelOnly="1" type="button"/>
    </format>
    <format dxfId="10">
      <pivotArea outline="0" fieldPosition="0" dataOnly="0">
        <references count="1">
          <reference field="3" count="0"/>
        </references>
      </pivotArea>
    </format>
    <format dxfId="31">
      <pivotArea outline="0" fieldPosition="0" dataOnly="0">
        <references count="1">
          <reference field="3" count="4">
            <x v="9"/>
            <x v="11"/>
            <x v="13"/>
            <x v="15"/>
          </reference>
        </references>
      </pivotArea>
    </format>
    <format dxfId="31">
      <pivotArea outline="0" fieldPosition="0" dataOnly="0">
        <references count="1">
          <reference field="3" count="1">
            <x v="7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28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2">
    <i>
      <x v="16"/>
    </i>
    <i>
      <x v="17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6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9">
      <pivotArea outline="0" fieldPosition="255" dataOnly="0" field="2" labelOnly="1" type="button"/>
    </format>
    <format dxfId="29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0">
      <pivotArea outline="0" fieldPosition="0" axis="axisRow" dataOnly="0" field="3" labelOnly="1" type="button"/>
    </format>
    <format dxfId="31">
      <pivotArea outline="0" fieldPosition="0" dataOnly="0">
        <references count="1">
          <reference field="3" count="2">
            <x v="10"/>
            <x v="12"/>
          </reference>
        </references>
      </pivotArea>
    </format>
    <format dxfId="31">
      <pivotArea outline="0" fieldPosition="0" dataOnly="0">
        <references count="1">
          <reference field="3" count="1">
            <x v="14"/>
          </reference>
        </references>
      </pivotArea>
    </format>
    <format dxfId="31">
      <pivotArea outline="0" fieldPosition="0" dataOnly="0">
        <references count="1">
          <reference field="3" count="1">
            <x v="16"/>
          </reference>
        </references>
      </pivotArea>
    </format>
    <format dxfId="32">
      <pivotArea outline="0" fieldPosition="0">
        <references count="2">
          <reference field="4294967294" count="2">
            <x v="9"/>
            <x v="10"/>
          </reference>
          <reference field="3" count="1">
            <x v="17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6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0">
      <pivotArea outline="0" fieldPosition="255" dataOnly="0" field="2" labelOnly="1" type="button"/>
    </format>
    <format dxfId="21">
      <pivotArea outline="0" fieldPosition="255" dataOnly="0" field="2" labelOnly="1" type="button"/>
    </format>
    <format dxfId="33">
      <pivotArea outline="0" fieldPosition="255" dataOnly="0" field="2" labelOnly="1" type="button"/>
    </format>
    <format dxfId="33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4">
      <pivotArea outline="0" fieldPosition="0" axis="axisRow" dataOnly="0" field="3" labelOnly="1" type="button"/>
    </format>
    <format dxfId="35">
      <pivotArea outline="0" fieldPosition="0" dataOnly="0">
        <references count="1">
          <reference field="3" count="3">
            <x v="10"/>
            <x v="12"/>
            <x v="14"/>
          </reference>
        </references>
      </pivotArea>
    </format>
    <format dxfId="35">
      <pivotArea outline="0" fieldPosition="0" dataOnly="0">
        <references count="1">
          <reference field="3" count="1">
            <x v="16"/>
          </reference>
        </references>
      </pivotArea>
    </format>
    <format dxfId="35">
      <pivotArea outline="0" fieldPosition="0" dataOnly="0">
        <references count="1">
          <reference field="3" count="1">
            <x v="18"/>
          </reference>
        </references>
      </pivotArea>
    </format>
    <format dxfId="35">
      <pivotArea outline="0" fieldPosition="0" dataOnly="0">
        <references count="1">
          <reference field="3" count="1">
            <x v="20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34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0">
      <pivotArea outline="0" fieldPosition="255" dataOnly="0" field="2" labelOnly="1" type="button"/>
    </format>
    <format dxfId="21">
      <pivotArea outline="0" fieldPosition="255" dataOnly="0" field="2" labelOnly="1" type="button"/>
    </format>
    <format dxfId="33">
      <pivotArea outline="0" fieldPosition="255" dataOnly="0" field="2" labelOnly="1" type="button"/>
    </format>
    <format dxfId="33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4">
      <pivotArea outline="0" fieldPosition="0" axis="axisRow" dataOnly="0" field="3" labelOnly="1" type="button"/>
    </format>
    <format dxfId="10">
      <pivotArea outline="0" fieldPosition="0" dataOnly="0">
        <references count="1">
          <reference field="3" count="0"/>
        </references>
      </pivotArea>
    </format>
    <format dxfId="36">
      <pivotArea outline="0" fieldPosition="0" dataOnly="0" labelOnly="1">
        <references count="1">
          <reference field="3" count="1">
            <x v="6"/>
          </reference>
        </references>
      </pivotArea>
    </format>
    <format dxfId="33">
      <pivotArea outline="0" fieldPosition="0" dataOnly="0">
        <references count="1">
          <reference field="3" count="5">
            <x v="6"/>
            <x v="8"/>
            <x v="10"/>
            <x v="12"/>
            <x v="14"/>
          </reference>
        </references>
      </pivotArea>
    </format>
    <format dxfId="36">
      <pivotArea outline="0" fieldPosition="0" dataOnly="0" labelOnly="1">
        <references count="1">
          <reference field="3" count="1">
            <x v="5"/>
          </reference>
        </references>
      </pivotArea>
    </format>
    <format dxfId="19">
      <pivotArea outline="0" fieldPosition="0">
        <references count="1">
          <reference field="3" count="1">
            <x v="4"/>
          </reference>
        </references>
      </pivotArea>
    </format>
    <format dxfId="33">
      <pivotArea outline="0" fieldPosition="0">
        <references count="1">
          <reference field="3" count="1">
            <x v="4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3" count="0"/>
        </references>
      </pivotArea>
    </format>
    <format dxfId="36">
      <pivotArea outline="0" fieldPosition="0">
        <references count="1">
          <reference field="3" count="2">
            <x v="2"/>
            <x v="3"/>
          </reference>
        </references>
      </pivotArea>
    </format>
    <format dxfId="36">
      <pivotArea outline="0" fieldPosition="0" dataOnly="0" labelOnly="1">
        <references count="1">
          <reference field="3" count="2">
            <x v="2"/>
            <x v="3"/>
          </reference>
        </references>
      </pivotArea>
    </format>
    <format dxfId="10">
      <pivotArea outline="0" fieldPosition="0" dataOnly="0">
        <references count="1">
          <reference field="3" count="7">
            <x v="3"/>
            <x v="5"/>
            <x v="7"/>
            <x v="9"/>
            <x v="11"/>
            <x v="13"/>
            <x v="15"/>
          </reference>
        </references>
      </pivotArea>
    </format>
    <format dxfId="35">
      <pivotArea outline="0" fieldPosition="0" dataOnly="0">
        <references count="1">
          <reference field="3" count="7">
            <x v="0"/>
            <x v="4"/>
            <x v="6"/>
            <x v="8"/>
            <x v="10"/>
            <x v="12"/>
            <x v="14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4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9">
      <pivotArea outline="0" fieldPosition="255" dataOnly="0" field="2" labelOnly="1" type="button"/>
    </format>
    <format dxfId="21">
      <pivotArea outline="0" fieldPosition="255" dataOnly="0" field="2" labelOnly="1" type="button"/>
    </format>
    <format dxfId="17">
      <pivotArea outline="0" fieldPosition="255" dataOnly="0" field="2" labelOnly="1" type="button"/>
    </format>
    <format dxfId="1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">
      <pivotArea outline="0" fieldPosition="0" axis="axisRow" dataOnly="0" field="3" labelOnly="1" type="button"/>
    </format>
    <format dxfId="19">
      <pivotArea outline="0" fieldPosition="0" dataOnly="0">
        <references count="1">
          <reference field="3" count="3">
            <x v="10"/>
            <x v="12"/>
            <x v="14"/>
          </reference>
        </references>
      </pivotArea>
    </format>
    <format dxfId="19">
      <pivotArea outline="0" fieldPosition="0" dataOnly="0">
        <references count="1">
          <reference field="3" count="3">
            <x v="16"/>
            <x v="18"/>
            <x v="20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30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9">
      <pivotArea outline="0" fieldPosition="255" dataOnly="0" field="2" labelOnly="1" type="button"/>
    </format>
    <format dxfId="21">
      <pivotArea outline="0" fieldPosition="255" dataOnly="0" field="2" labelOnly="1" type="button"/>
    </format>
    <format dxfId="17">
      <pivotArea outline="0" fieldPosition="255" dataOnly="0" field="2" labelOnly="1" type="button"/>
    </format>
    <format dxfId="1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">
      <pivotArea outline="0" fieldPosition="0" axis="axisRow" dataOnly="0" field="3" labelOnly="1" type="button"/>
    </format>
    <format dxfId="10">
      <pivotArea outline="0" fieldPosition="0" dataOnly="0">
        <references count="1">
          <reference field="3" count="0"/>
        </references>
      </pivotArea>
    </format>
    <format dxfId="19">
      <pivotArea outline="0" fieldPosition="0" dataOnly="0">
        <references count="1">
          <reference field="3" count="5">
            <x v="6"/>
            <x v="8"/>
            <x v="10"/>
            <x v="12"/>
            <x v="14"/>
          </reference>
        </references>
      </pivotArea>
    </format>
    <format dxfId="19">
      <pivotArea outline="0" fieldPosition="0">
        <references count="1">
          <reference field="3" count="1">
            <x v="4"/>
          </reference>
        </references>
      </pivotArea>
    </format>
    <format dxfId="20">
      <pivotArea outline="0" fieldPosition="0"/>
    </format>
    <format dxfId="20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>
        <references count="1">
          <reference field="3" count="7">
            <x v="3"/>
            <x v="5"/>
            <x v="7"/>
            <x v="9"/>
            <x v="11"/>
            <x v="13"/>
            <x v="15"/>
          </reference>
        </references>
      </pivotArea>
    </format>
    <format dxfId="10">
      <pivotArea outline="0" fieldPosition="0">
        <references count="1">
          <reference field="3" count="1">
            <x v="1"/>
          </reference>
        </references>
      </pivotArea>
    </format>
    <format dxfId="10">
      <pivotArea outline="0" fieldPosition="0" dataOnly="0" labelOnly="1">
        <references count="1">
          <reference field="3" count="1">
            <x v="1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3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">
      <pivotArea outline="0" fieldPosition="255" dataOnly="0" field="2" labelOnly="1" type="button"/>
    </format>
    <format dxfId="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7">
      <pivotArea outline="0" fieldPosition="0" axis="axisRow" dataOnly="0" field="3" labelOnly="1" type="button"/>
    </format>
    <format dxfId="8">
      <pivotArea outline="0" fieldPosition="0" dataOnly="0">
        <references count="1">
          <reference field="3" count="1">
            <x v="10"/>
          </reference>
        </references>
      </pivotArea>
    </format>
    <format dxfId="8">
      <pivotArea outline="0" fieldPosition="0" dataOnly="0">
        <references count="1">
          <reference field="3" count="2">
            <x v="12"/>
            <x v="14"/>
          </reference>
        </references>
      </pivotArea>
    </format>
    <format dxfId="8">
      <pivotArea outline="0" fieldPosition="0" dataOnly="0">
        <references count="1">
          <reference field="3" count="3">
            <x v="16"/>
            <x v="18"/>
            <x v="20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7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">
      <pivotArea outline="0" fieldPosition="255" dataOnly="0" field="2" labelOnly="1" type="button"/>
    </format>
    <format dxfId="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7">
      <pivotArea outline="0" fieldPosition="0" axis="axisRow" dataOnly="0" field="3" labelOnly="1" type="button"/>
    </format>
    <format dxfId="10">
      <pivotArea outline="0" fieldPosition="0" dataOnly="0">
        <references count="1">
          <reference field="3" count="0"/>
        </references>
      </pivotArea>
    </format>
    <format dxfId="8">
      <pivotArea outline="0" fieldPosition="0" dataOnly="0">
        <references count="1">
          <reference field="3" count="5">
            <x v="6"/>
            <x v="8"/>
            <x v="10"/>
            <x v="12"/>
            <x v="14"/>
          </reference>
        </references>
      </pivotArea>
    </format>
    <format dxfId="8">
      <pivotArea outline="0" fieldPosition="0">
        <references count="1">
          <reference field="3" count="1">
            <x v="4"/>
          </reference>
        </references>
      </pivotArea>
    </format>
    <format dxfId="11">
      <pivotArea outline="0" fieldPosition="0"/>
    </format>
    <format dxfId="11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>
        <references count="1">
          <reference field="3" count="7">
            <x v="3"/>
            <x v="5"/>
            <x v="7"/>
            <x v="9"/>
            <x v="11"/>
            <x v="13"/>
            <x v="15"/>
          </reference>
        </references>
      </pivotArea>
    </format>
    <format dxfId="10">
      <pivotArea outline="0" fieldPosition="0" dataOnly="0">
        <references count="1">
          <reference field="3" count="1">
            <x v="1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x="0"/>
        <item h="1" x="1"/>
        <item h="1" x="2"/>
        <item h="1"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7">
      <pivotArea outline="0" fieldPosition="255" dataOnly="0" field="2" labelOnly="1" type="button"/>
    </format>
    <format dxfId="1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">
      <pivotArea outline="0" fieldPosition="0" axis="axisRow" dataOnly="0" field="3" labelOnly="1" type="button"/>
    </format>
    <format dxfId="19">
      <pivotArea outline="0" fieldPosition="0" dataOnly="0">
        <references count="1">
          <reference field="3" count="3">
            <x v="10"/>
            <x v="12"/>
            <x v="14"/>
          </reference>
        </references>
      </pivotArea>
    </format>
    <format dxfId="19">
      <pivotArea outline="0" fieldPosition="0" dataOnly="0">
        <references count="1">
          <reference field="3" count="3">
            <x v="16"/>
            <x v="18"/>
            <x v="20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h="1" x="7"/>
        <item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9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8">
      <pivotArea outline="0" fieldPosition="255" dataOnly="0" field="2" labelOnly="1" type="button"/>
    </format>
    <format dxfId="21">
      <pivotArea outline="0" fieldPosition="255" dataOnly="0" field="2" labelOnly="1" type="button"/>
    </format>
    <format dxfId="23">
      <pivotArea outline="0" fieldPosition="255" dataOnly="0" field="2" labelOnly="1" type="button"/>
    </format>
    <format dxfId="23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4">
      <pivotArea outline="0" fieldPosition="0" axis="axisRow" dataOnly="0" field="3" labelOnly="1" type="button"/>
    </format>
    <format dxfId="10">
      <pivotArea outline="0" fieldPosition="0" dataOnly="0">
        <references count="1">
          <reference field="3" count="0"/>
        </references>
      </pivotArea>
    </format>
    <format dxfId="38">
      <pivotArea outline="0" fieldPosition="0" dataOnly="0">
        <references count="1">
          <reference field="3" count="5">
            <x v="6"/>
            <x v="8"/>
            <x v="10"/>
            <x v="12"/>
            <x v="14"/>
          </reference>
        </references>
      </pivotArea>
    </format>
    <format dxfId="38">
      <pivotArea outline="0" fieldPosition="0">
        <references count="1">
          <reference field="3" count="1">
            <x v="4"/>
          </reference>
        </references>
      </pivotArea>
    </format>
    <format dxfId="39">
      <pivotArea outline="0" fieldPosition="0"/>
    </format>
    <format dxfId="39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>
        <references count="1">
          <reference field="3" count="7">
            <x v="3"/>
            <x v="5"/>
            <x v="7"/>
            <x v="9"/>
            <x v="11"/>
            <x v="13"/>
            <x v="15"/>
          </reference>
        </references>
      </pivotArea>
    </format>
    <format dxfId="10">
      <pivotArea outline="0" fieldPosition="0" dataOnly="0">
        <references count="1">
          <reference field="3" count="1">
            <x v="1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h="1" x="7"/>
        <item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4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8">
      <pivotArea outline="0" fieldPosition="255" dataOnly="0" field="2" labelOnly="1" type="button"/>
    </format>
    <format dxfId="21">
      <pivotArea outline="0" fieldPosition="255" dataOnly="0" field="2" labelOnly="1" type="button"/>
    </format>
    <format dxfId="23">
      <pivotArea outline="0" fieldPosition="255" dataOnly="0" field="2" labelOnly="1" type="button"/>
    </format>
    <format dxfId="23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4">
      <pivotArea outline="0" fieldPosition="0" axis="axisRow" dataOnly="0" field="3" labelOnly="1" type="button"/>
    </format>
    <format dxfId="38">
      <pivotArea outline="0" fieldPosition="0" dataOnly="0">
        <references count="1">
          <reference field="3" count="3">
            <x v="10"/>
            <x v="12"/>
            <x v="14"/>
          </reference>
        </references>
      </pivotArea>
    </format>
    <format dxfId="38">
      <pivotArea outline="0" fieldPosition="0" dataOnly="0">
        <references count="1">
          <reference field="3" count="3">
            <x v="16"/>
            <x v="18"/>
            <x v="20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h="1" x="7"/>
        <item h="1" x="8"/>
        <item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5">
      <pivotArea outline="0" fieldPosition="255" dataOnly="0" field="2" labelOnly="1" type="button"/>
    </format>
    <format dxfId="25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6">
      <pivotArea outline="0" fieldPosition="0" axis="axisRow" dataOnly="0" field="3" labelOnly="1" type="button"/>
    </format>
    <format dxfId="40">
      <pivotArea outline="0" fieldPosition="0" dataOnly="0">
        <references count="1">
          <reference field="3" count="3">
            <x v="10"/>
            <x v="12"/>
            <x v="14"/>
          </reference>
        </references>
      </pivotArea>
    </format>
    <format dxfId="40">
      <pivotArea outline="0" fieldPosition="0" dataOnly="0">
        <references count="1">
          <reference field="3" count="3">
            <x v="16"/>
            <x v="18"/>
            <x v="20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h="1" x="7"/>
        <item h="1" x="8"/>
        <item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6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5">
      <pivotArea outline="0" fieldPosition="255" dataOnly="0" field="2" labelOnly="1" type="button"/>
    </format>
    <format dxfId="25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6">
      <pivotArea outline="0" fieldPosition="0" axis="axisRow" dataOnly="0" field="3" labelOnly="1" type="button"/>
    </format>
    <format dxfId="10">
      <pivotArea outline="0" fieldPosition="0" dataOnly="0">
        <references count="1">
          <reference field="3" count="0"/>
        </references>
      </pivotArea>
    </format>
    <format dxfId="40">
      <pivotArea outline="0" fieldPosition="0" dataOnly="0">
        <references count="1">
          <reference field="3" count="5">
            <x v="6"/>
            <x v="8"/>
            <x v="10"/>
            <x v="12"/>
            <x v="14"/>
          </reference>
        </references>
      </pivotArea>
    </format>
    <format dxfId="41">
      <pivotArea outline="0" fieldPosition="0"/>
    </format>
    <format dxfId="41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>
        <references count="1">
          <reference field="3" count="7">
            <x v="3"/>
            <x v="5"/>
            <x v="7"/>
            <x v="9"/>
            <x v="11"/>
            <x v="13"/>
            <x v="15"/>
          </reference>
        </references>
      </pivotArea>
    </format>
    <format dxfId="10">
      <pivotArea outline="0" fieldPosition="0" dataOnly="0">
        <references count="1">
          <reference field="3" count="1">
            <x v="1"/>
          </reference>
        </references>
      </pivotArea>
    </format>
  </formats>
  <pivotTableStyleInfo name="PivotStyleLight25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27:M28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h="1" x="7"/>
        <item h="1" x="8"/>
        <item h="1" x="9"/>
        <item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">
    <i>
      <x v="16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5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7">
      <pivotArea outline="0" fieldPosition="255" dataOnly="0" field="2" labelOnly="1" type="button"/>
    </format>
    <format dxfId="2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8">
      <pivotArea outline="0" fieldPosition="0" axis="axisRow" dataOnly="0" field="3" labelOnly="1" type="button"/>
    </format>
    <format dxfId="42">
      <pivotArea outline="0" fieldPosition="0" dataOnly="0">
        <references count="1">
          <reference field="3" count="3">
            <x v="10"/>
            <x v="12"/>
            <x v="14"/>
          </reference>
        </references>
      </pivotArea>
    </format>
    <format dxfId="42">
      <pivotArea outline="0" fieldPosition="0" dataOnly="0">
        <references count="1">
          <reference field="3" count="1">
            <x v="16"/>
          </reference>
        </references>
      </pivotArea>
    </format>
    <format dxfId="43">
      <pivotArea outline="0" fieldPosition="0">
        <references count="1">
          <reference field="4294967294" count="2">
            <x v="9"/>
            <x v="10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22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h="1" x="3"/>
        <item h="1" x="4"/>
        <item h="1" x="10"/>
        <item h="1" x="5"/>
        <item h="1" x="6"/>
        <item h="1" x="7"/>
        <item h="1" x="8"/>
        <item h="1" x="9"/>
        <item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8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31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7">
      <pivotArea outline="0" fieldPosition="255" dataOnly="0" field="2" labelOnly="1" type="button"/>
    </format>
    <format dxfId="2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8">
      <pivotArea outline="0" fieldPosition="0" axis="axisRow" dataOnly="0" field="3" labelOnly="1" type="button"/>
    </format>
    <format dxfId="42">
      <pivotArea outline="0" fieldPosition="0" dataOnly="0">
        <references count="1">
          <reference field="3" count="3">
            <x v="10"/>
            <x v="12"/>
            <x v="14"/>
          </reference>
        </references>
      </pivotArea>
    </format>
    <format dxfId="10">
      <pivotArea outline="0" fieldPosition="0" dataOnly="0">
        <references count="1">
          <reference field="3" count="0"/>
        </references>
      </pivotArea>
    </format>
    <format dxfId="42">
      <pivotArea outline="0" fieldPosition="0" dataOnly="0">
        <references count="1">
          <reference field="3" count="4">
            <x v="9"/>
            <x v="11"/>
            <x v="13"/>
            <x v="15"/>
          </reference>
        </references>
      </pivotArea>
    </format>
    <format dxfId="42">
      <pivotArea outline="0" fieldPosition="0" dataOnly="0">
        <references count="1">
          <reference field="3" count="4">
            <x v="8"/>
            <x v="10"/>
            <x v="12"/>
            <x v="14"/>
          </reference>
        </references>
      </pivotArea>
    </format>
    <format dxfId="9">
      <pivotArea outline="0" fieldPosition="0" dataOnly="0">
        <references count="1">
          <reference field="3" count="4">
            <x v="9"/>
            <x v="11"/>
            <x v="13"/>
            <x v="15"/>
          </reference>
        </references>
      </pivotArea>
    </format>
    <format dxfId="43">
      <pivotArea outline="0" fieldPosition="0">
        <references count="2">
          <reference field="4294967294" count="1">
            <x v="10"/>
          </reference>
          <reference field="3" count="1">
            <x v="12"/>
          </reference>
        </references>
      </pivotArea>
    </format>
    <format dxfId="43">
      <pivotArea outline="0" fieldPosition="0">
        <references count="2">
          <reference field="4294967294" count="1">
            <x v="10"/>
          </reference>
          <reference field="3" count="1">
            <x v="14"/>
          </reference>
        </references>
      </pivotArea>
    </format>
    <format dxfId="32">
      <pivotArea outline="0" fieldPosition="0">
        <references count="2">
          <reference field="4294967294" count="1">
            <x v="10"/>
          </reference>
          <reference field="3" count="1">
            <x v="13"/>
          </reference>
        </references>
      </pivotArea>
    </format>
    <format dxfId="32">
      <pivotArea outline="0" fieldPosition="0">
        <references count="2">
          <reference field="4294967294" count="2">
            <x v="9"/>
            <x v="10"/>
          </reference>
          <reference field="3" count="1">
            <x v="15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x="0"/>
        <item h="1" x="1"/>
        <item h="1" x="2"/>
        <item h="1"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34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7">
      <pivotArea outline="0" fieldPosition="255" dataOnly="0" field="2" labelOnly="1" type="button"/>
    </format>
    <format dxfId="1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">
      <pivotArea outline="0" fieldPosition="0" axis="axisRow" dataOnly="0" field="3" labelOnly="1" type="button"/>
    </format>
    <format dxfId="10">
      <pivotArea outline="0" fieldPosition="0" dataOnly="0">
        <references count="1">
          <reference field="3" count="0"/>
        </references>
      </pivotArea>
    </format>
    <format dxfId="19">
      <pivotArea outline="0" fieldPosition="0" dataOnly="0">
        <references count="1">
          <reference field="3" count="5">
            <x v="6"/>
            <x v="8"/>
            <x v="10"/>
            <x v="12"/>
            <x v="14"/>
          </reference>
        </references>
      </pivotArea>
    </format>
    <format dxfId="17">
      <pivotArea outline="0" fieldPosition="0">
        <references count="1">
          <reference field="3" count="1">
            <x v="4"/>
          </reference>
        </references>
      </pivotArea>
    </format>
    <format dxfId="17">
      <pivotArea outline="0" fieldPosition="0">
        <references count="1">
          <reference field="3" count="1">
            <x v="6"/>
          </reference>
        </references>
      </pivotArea>
    </format>
    <format dxfId="17">
      <pivotArea outline="0" fieldPosition="0">
        <references count="1">
          <reference field="3" count="1">
            <x v="8"/>
          </reference>
        </references>
      </pivotArea>
    </format>
    <format dxfId="17">
      <pivotArea outline="0" fieldPosition="0">
        <references count="1">
          <reference field="3" count="1">
            <x v="10"/>
          </reference>
        </references>
      </pivotArea>
    </format>
    <format dxfId="17">
      <pivotArea outline="0" fieldPosition="0">
        <references count="1">
          <reference field="3" count="1">
            <x v="12"/>
          </reference>
        </references>
      </pivotArea>
    </format>
    <format dxfId="17">
      <pivotArea outline="0" fieldPosition="0">
        <references count="1">
          <reference field="3" count="1">
            <x v="14"/>
          </reference>
        </references>
      </pivotArea>
    </format>
    <format dxfId="10">
      <pivotArea outline="0" fieldPosition="0"/>
    </format>
    <format dxfId="20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>
        <references count="1">
          <reference field="3" count="7">
            <x v="3"/>
            <x v="5"/>
            <x v="7"/>
            <x v="9"/>
            <x v="11"/>
            <x v="13"/>
            <x v="15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3" count="0"/>
        </references>
      </pivotArea>
    </format>
    <format dxfId="19">
      <pivotArea outline="0" fieldPosition="0" dataOnly="0">
        <references count="1">
          <reference field="3" count="8">
            <x v="0"/>
            <x v="2"/>
            <x v="4"/>
            <x v="6"/>
            <x v="8"/>
            <x v="10"/>
            <x v="12"/>
            <x v="14"/>
          </reference>
        </references>
      </pivotArea>
    </format>
  </formats>
  <pivotTableStyleInfo name="PivotStyleLight23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x="1"/>
        <item h="1" x="2"/>
        <item h="1"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3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7">
      <pivotArea outline="0" fieldPosition="255" dataOnly="0" field="2" labelOnly="1" type="button"/>
    </format>
    <format dxfId="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0" axis="axisRow" dataOnly="0" field="3" labelOnly="1" type="button"/>
    </format>
    <format dxfId="22">
      <pivotArea outline="0" fieldPosition="0" axis="axisRow" dataOnly="0" field="3" labelOnly="1" type="button"/>
    </format>
  </formats>
  <pivotTableStyleInfo name="PivotStyleLight23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x="1"/>
        <item h="1" x="2"/>
        <item h="1"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3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7">
      <pivotArea outline="0" fieldPosition="255" dataOnly="0" field="2" labelOnly="1" type="button"/>
    </format>
    <format dxfId="7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0" axis="axisRow" dataOnly="0" field="3" labelOnly="1" type="button"/>
    </format>
    <format dxfId="22">
      <pivotArea outline="0" fieldPosition="0" axis="axisRow" dataOnly="0" field="3" labelOnly="1" type="button"/>
    </format>
  </formats>
  <pivotTableStyleInfo name="PivotStyleLight23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x="2"/>
        <item h="1"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3">
      <pivotArea outline="0" fieldPosition="255" dataOnly="0" field="2" labelOnly="1" type="button"/>
    </format>
    <format dxfId="23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">
      <pivotArea outline="0" fieldPosition="0" axis="axisRow" dataOnly="0" field="3" labelOnly="1" type="button"/>
    </format>
  </formats>
  <pivotTableStyleInfo name="PivotStyleLight24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x="2"/>
        <item h="1"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3">
      <pivotArea outline="0" fieldPosition="255" dataOnly="0" field="2" labelOnly="1" type="button"/>
    </format>
    <format dxfId="23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4">
      <pivotArea outline="0" fieldPosition="0" axis="axisRow" dataOnly="0" field="3" labelOnly="1" type="button"/>
    </format>
  </formats>
  <pivotTableStyleInfo name="PivotStyleLight24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35:M41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x="5"/>
        <item x="4"/>
        <item x="3"/>
        <item x="2"/>
        <item x="1"/>
        <item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6"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5">
      <pivotArea outline="0" fieldPosition="255" dataOnly="0" field="2" labelOnly="1" type="button"/>
    </format>
    <format dxfId="25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6">
      <pivotArea outline="0" fieldPosition="0" axis="axisRow" dataOnly="0" field="3" labelOnly="1" type="button"/>
    </format>
  </formats>
  <pivotTableStyleInfo name="PivotStyleLight25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B14:M30" firstHeaderRow="0" firstDataRow="1" firstDataCol="1" rowPageCount="1" colPageCount="1"/>
  <pivotFields count="17">
    <pivotField axis="axisPage" showAll="0">
      <items count="13">
        <item h="1" x="0"/>
        <item h="1" x="1"/>
        <item h="1" x="2"/>
        <item x="3"/>
        <item h="1" x="4"/>
        <item h="1" x="10"/>
        <item h="1" x="5"/>
        <item h="1" x="6"/>
        <item h="1" x="7"/>
        <item h="1" x="8"/>
        <item h="1" x="9"/>
        <item h="1" x="11"/>
        <item t="default"/>
      </items>
    </pivotField>
    <pivotField showAll="0"/>
    <pivotField showAll="0" sortType="descending"/>
    <pivotField axis="axisRow" showAll="0" sortType="descending" defaultSubtotal="0">
      <items count="22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h="1" x="5"/>
        <item h="1" x="4"/>
        <item h="1" x="3"/>
        <item h="1" x="2"/>
        <item h="1" x="1"/>
        <item h="1" x="0"/>
      </items>
    </pivotField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 numFmtId="38"/>
    <pivotField dataField="1" showAll="0"/>
    <pivotField dataField="1" showAll="0" numFmtId="38"/>
    <pivotField showAll="0"/>
    <pivotField showAll="0"/>
    <pivotField dataField="1" showAll="0" dragToRow="0" dragToCol="0" dragToPage="0"/>
    <pivotField dataField="1" showAll="0" dragToRow="0" dragToCol="0" dragToPage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0" hier="0"/>
  </pageFields>
  <dataFields count="11">
    <dataField name="Assets " fld="4" baseField="0" baseItem="0" numFmtId="164"/>
    <dataField name="Surplus " fld="5" baseField="0" baseItem="0" numFmtId="164"/>
    <dataField name="Claims &amp; LAE Reserve " fld="6" baseField="0" baseItem="0" numFmtId="164"/>
    <dataField name="Earned Premium " fld="7" baseField="0" baseItem="0" numFmtId="164"/>
    <dataField name="Total&#10;Revenues " fld="8" baseField="0" baseItem="0" numFmtId="164"/>
    <dataField name="Total Medical Claims " fld="9" baseField="0" baseItem="0" numFmtId="164"/>
    <dataField name="Claims Adj. &amp; General Admin. Expenses " fld="10" baseField="0" baseItem="0" numFmtId="164"/>
    <dataField name="Net Underwriting Gain/(Loss) " fld="11" baseField="0" baseItem="0" numFmtId="164"/>
    <dataField name="Net&#10;Income " fld="12" baseField="0" baseItem="0" numFmtId="164"/>
    <dataField name="Medical Loss Ratio " fld="15" baseField="0" baseItem="0" numFmtId="10"/>
    <dataField name="Admin Expense Ratio" fld="16" baseField="2" baseItem="0" numFmtId="10"/>
  </dataFields>
  <formats count="22">
    <format dxfId="13">
      <pivotArea outline="0" fieldPosition="0"/>
    </format>
    <format dxfId="0">
      <pivotArea outline="0" fieldPosition="255" dataOnly="0" field="2" labelOnly="1" type="button"/>
    </format>
    <format dxfId="0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">
      <pivotArea outline="0" fieldPosition="255" dataOnly="0" field="2" labelOnly="1" type="button"/>
    </format>
    <format dxfId="1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fieldPosition="255" dataOnly="0" field="2" labelOnly="1" type="button"/>
    </format>
    <format dxfId="2">
      <pivotArea outline="0" fieldPosition="0" dataOnly="0" labelOnly="1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fieldPosition="0" dataOnly="0" type="all"/>
    </format>
    <format dxfId="4">
      <pivotArea outline="0" fieldPosition="0">
        <references count="1">
          <reference field="4294967294" count="2">
            <x v="9"/>
            <x v="10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9"/>
          </reference>
        </references>
      </pivotArea>
    </format>
    <format dxfId="14">
      <pivotArea outline="0" fieldPosition="0" dataOnly="0" labelOnly="1">
        <references count="1">
          <reference field="4294967294" count="1">
            <x v="10"/>
          </reference>
        </references>
      </pivotArea>
    </format>
    <format dxfId="15">
      <pivotArea outline="0" fieldPosition="0" dataOnly="0" type="all"/>
    </format>
    <format dxfId="15">
      <pivotArea outline="0" fieldPosition="0" axis="axisPage" dataOnly="0" field="0" labelOnly="1" type="button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255" dataOnly="0" field="2" labelOnly="1" type="button"/>
    </format>
    <format dxfId="16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255" dataOnly="0" field="2" labelOnly="1" type="button"/>
    </format>
    <format dxfId="21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5">
      <pivotArea outline="0" fieldPosition="255" dataOnly="0" field="2" labelOnly="1" type="button"/>
    </format>
    <format dxfId="25">
      <pivotArea outline="0" fieldPosition="0" dataOnly="0" labelOnly="1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6">
      <pivotArea outline="0" fieldPosition="0" axis="axisRow" dataOnly="0" field="3" labelOnly="1" type="button"/>
    </format>
  </formats>
  <pivotTableStyleInfo name="PivotStyleLight2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O241" comment="" totalsRowShown="0">
  <autoFilter ref="A1:O241"/>
  <tableColumns count="15">
    <tableColumn id="1" name="Health Insurers"/>
    <tableColumn id="2" name="Quarter"/>
    <tableColumn id="3" name="Year"/>
    <tableColumn id="15" name="Year-Qtr"/>
    <tableColumn id="4" name="Assets"/>
    <tableColumn id="5" name="Surplus"/>
    <tableColumn id="6" name="Claims &amp; LAE Reserve"/>
    <tableColumn id="7" name="Earned Premium"/>
    <tableColumn id="8" name="Total Revenues"/>
    <tableColumn id="9" name="Total Medical Claims"/>
    <tableColumn id="10" name="Claims Adj. &amp; General Admin. Expenses"/>
    <tableColumn id="11" name="Net Underwriting Gain/(Loss)"/>
    <tableColumn id="12" name="Net Income"/>
    <tableColumn id="13" name="Medical Loss Ratio"/>
    <tableColumn id="14" name="Administrative Expense Rati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18.xml" /><Relationship Id="rId4" Type="http://schemas.openxmlformats.org/officeDocument/2006/relationships/pivotTable" Target="../pivotTables/pivotTable1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20.xml" /><Relationship Id="rId4" Type="http://schemas.openxmlformats.org/officeDocument/2006/relationships/pivotTable" Target="../pivotTables/pivotTable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22.xml" /><Relationship Id="rId4" Type="http://schemas.openxmlformats.org/officeDocument/2006/relationships/pivotTable" Target="../pivotTables/pivotTable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4.xml" /><Relationship Id="rId4" Type="http://schemas.openxmlformats.org/officeDocument/2006/relationships/pivotTable" Target="../pivotTables/pivotTable2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4.xml" /><Relationship Id="rId4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8.xml" /><Relationship Id="rId4" Type="http://schemas.openxmlformats.org/officeDocument/2006/relationships/pivotTable" Target="../pivotTables/pivotTable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2.xml" /><Relationship Id="rId4" Type="http://schemas.openxmlformats.org/officeDocument/2006/relationships/pivotTable" Target="../pivotTables/pivotTable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4.xml" /><Relationship Id="rId4" Type="http://schemas.openxmlformats.org/officeDocument/2006/relationships/pivotTable" Target="../pivotTables/pivotTable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16.xml" /><Relationship Id="rId4" Type="http://schemas.openxmlformats.org/officeDocument/2006/relationships/pivotTable" Target="../pivotTables/pivotTable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O25"/>
  <sheetViews>
    <sheetView showGridLines="0" tabSelected="1" zoomScalePageLayoutView="0" workbookViewId="0" topLeftCell="A1">
      <pane ySplit="13" topLeftCell="A14" activePane="bottomLeft" state="frozen"/>
      <selection pane="topLeft" activeCell="P26" sqref="P26"/>
      <selection pane="bottomLeft" activeCell="A14" sqref="A14"/>
    </sheetView>
  </sheetViews>
  <sheetFormatPr defaultColWidth="9.140625" defaultRowHeight="23.25" customHeight="1"/>
  <cols>
    <col min="1" max="1" width="0.71875" style="0" customWidth="1"/>
    <col min="2" max="2" width="23.8515625" style="0" customWidth="1"/>
    <col min="3" max="3" width="15.421875" style="0" customWidth="1"/>
    <col min="4" max="5" width="13.8515625" style="0" customWidth="1"/>
    <col min="6" max="6" width="15.28125" style="0" customWidth="1"/>
    <col min="7" max="7" width="15.421875" style="0" customWidth="1"/>
    <col min="8" max="8" width="15.28125" style="0" customWidth="1"/>
    <col min="9" max="9" width="15.57421875" style="0" customWidth="1"/>
    <col min="10" max="11" width="13.28125" style="0" customWidth="1"/>
    <col min="12" max="12" width="10.7109375" style="0" customWidth="1"/>
    <col min="13" max="13" width="9.851562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1" t="s">
        <v>84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2:13" ht="23.25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3" ht="9.75" customHeight="1" hidden="1">
      <c r="B11" s="6" t="s">
        <v>42</v>
      </c>
      <c r="C11" s="49" t="s">
        <v>85</v>
      </c>
    </row>
    <row r="12" ht="9.75" customHeight="1" hidden="1"/>
    <row r="13" spans="2:15" ht="60.75">
      <c r="B13" s="18" t="s">
        <v>35</v>
      </c>
      <c r="C13" s="19" t="s">
        <v>25</v>
      </c>
      <c r="D13" s="19" t="s">
        <v>26</v>
      </c>
      <c r="E13" s="19" t="s">
        <v>74</v>
      </c>
      <c r="F13" s="19" t="s">
        <v>28</v>
      </c>
      <c r="G13" s="19" t="s">
        <v>29</v>
      </c>
      <c r="H13" s="19" t="s">
        <v>30</v>
      </c>
      <c r="I13" s="19" t="s">
        <v>34</v>
      </c>
      <c r="J13" s="19" t="s">
        <v>33</v>
      </c>
      <c r="K13" s="19" t="s">
        <v>32</v>
      </c>
      <c r="L13" s="19" t="s">
        <v>31</v>
      </c>
      <c r="M13" s="19" t="s">
        <v>37</v>
      </c>
      <c r="O13" s="14" t="s">
        <v>41</v>
      </c>
    </row>
    <row r="14" spans="2:15" ht="23.25">
      <c r="B14" s="20" t="s">
        <v>18</v>
      </c>
      <c r="C14" s="21">
        <v>64802975</v>
      </c>
      <c r="D14" s="21">
        <v>20602245</v>
      </c>
      <c r="E14" s="21">
        <v>11690829</v>
      </c>
      <c r="F14" s="21">
        <v>203870780</v>
      </c>
      <c r="G14" s="21">
        <v>203870780</v>
      </c>
      <c r="H14" s="21">
        <v>160433900</v>
      </c>
      <c r="I14" s="21">
        <v>35843704</v>
      </c>
      <c r="J14" s="21">
        <v>6393176</v>
      </c>
      <c r="K14" s="21">
        <v>5155537</v>
      </c>
      <c r="L14" s="22">
        <v>0.7869391582256172</v>
      </c>
      <c r="M14" s="22">
        <v>0.17581579861518162</v>
      </c>
      <c r="O14" s="15">
        <v>1</v>
      </c>
    </row>
    <row r="15" spans="2:15" ht="23.25">
      <c r="B15" s="69" t="s">
        <v>11</v>
      </c>
      <c r="C15" s="67">
        <v>155551443</v>
      </c>
      <c r="D15" s="67">
        <v>73730318</v>
      </c>
      <c r="E15" s="67">
        <v>50245472</v>
      </c>
      <c r="F15" s="67">
        <v>498952615</v>
      </c>
      <c r="G15" s="67">
        <v>498952615</v>
      </c>
      <c r="H15" s="67">
        <v>451434830</v>
      </c>
      <c r="I15" s="67">
        <v>68976734</v>
      </c>
      <c r="J15" s="67">
        <v>-4746594</v>
      </c>
      <c r="K15" s="67">
        <v>-136638</v>
      </c>
      <c r="L15" s="68">
        <v>0.9047649344417205</v>
      </c>
      <c r="M15" s="68">
        <v>0.1382430554051711</v>
      </c>
      <c r="O15" s="15">
        <v>1</v>
      </c>
    </row>
    <row r="16" spans="2:15" ht="23.25">
      <c r="B16" s="20" t="s">
        <v>12</v>
      </c>
      <c r="C16" s="21">
        <v>1254529077</v>
      </c>
      <c r="D16" s="21">
        <v>463083695</v>
      </c>
      <c r="E16" s="21">
        <v>109724931</v>
      </c>
      <c r="F16" s="21">
        <v>3777445468</v>
      </c>
      <c r="G16" s="21">
        <v>4027080925</v>
      </c>
      <c r="H16" s="21">
        <v>3718514500</v>
      </c>
      <c r="I16" s="21">
        <v>324474406</v>
      </c>
      <c r="J16" s="21">
        <v>-15907981</v>
      </c>
      <c r="K16" s="21">
        <v>-6991477</v>
      </c>
      <c r="L16" s="22">
        <v>0.9843992538081029</v>
      </c>
      <c r="M16" s="22">
        <v>0.08589783988908135</v>
      </c>
      <c r="O16" s="15">
        <v>1</v>
      </c>
    </row>
    <row r="17" spans="2:15" ht="23.25">
      <c r="B17" s="69" t="s">
        <v>13</v>
      </c>
      <c r="C17" s="67">
        <v>12275263</v>
      </c>
      <c r="D17" s="67">
        <v>10315983</v>
      </c>
      <c r="E17" s="67">
        <v>0</v>
      </c>
      <c r="F17" s="67">
        <v>49861</v>
      </c>
      <c r="G17" s="67">
        <v>49861</v>
      </c>
      <c r="H17" s="67">
        <v>-188562</v>
      </c>
      <c r="I17" s="67">
        <v>-296329</v>
      </c>
      <c r="J17" s="67">
        <v>534752</v>
      </c>
      <c r="K17" s="67">
        <v>958262</v>
      </c>
      <c r="L17" s="68">
        <v>-3.7817532741020035</v>
      </c>
      <c r="M17" s="68">
        <v>-5.94310182306813</v>
      </c>
      <c r="O17" s="15">
        <v>1</v>
      </c>
    </row>
    <row r="18" spans="2:15" ht="23.25">
      <c r="B18" s="20" t="s">
        <v>14</v>
      </c>
      <c r="C18" s="21">
        <v>316994497</v>
      </c>
      <c r="D18" s="21">
        <v>130757252</v>
      </c>
      <c r="E18" s="21">
        <v>65952699</v>
      </c>
      <c r="F18" s="21">
        <v>686361897</v>
      </c>
      <c r="G18" s="21">
        <v>437417109</v>
      </c>
      <c r="H18" s="21">
        <v>612784569</v>
      </c>
      <c r="I18" s="21">
        <v>73635577</v>
      </c>
      <c r="J18" s="80">
        <v>-249003037</v>
      </c>
      <c r="K18" s="80">
        <v>-227092210</v>
      </c>
      <c r="L18" s="22">
        <v>0.8928009723127157</v>
      </c>
      <c r="M18" s="22">
        <v>0.10728389399506541</v>
      </c>
      <c r="O18" s="15">
        <v>1</v>
      </c>
    </row>
    <row r="19" spans="2:15" ht="23.25">
      <c r="B19" s="69" t="s">
        <v>15</v>
      </c>
      <c r="C19" s="67">
        <v>319877838</v>
      </c>
      <c r="D19" s="67">
        <v>208999829</v>
      </c>
      <c r="E19" s="67">
        <v>81996615</v>
      </c>
      <c r="F19" s="67">
        <v>801487925</v>
      </c>
      <c r="G19" s="67">
        <v>800742738</v>
      </c>
      <c r="H19" s="67">
        <v>646982724</v>
      </c>
      <c r="I19" s="67">
        <v>131049350</v>
      </c>
      <c r="J19" s="67">
        <v>22710664</v>
      </c>
      <c r="K19" s="67">
        <v>13947770</v>
      </c>
      <c r="L19" s="68">
        <v>0.8072270383861366</v>
      </c>
      <c r="M19" s="68">
        <v>0.16350757873239324</v>
      </c>
      <c r="O19" s="15">
        <v>1</v>
      </c>
    </row>
    <row r="20" spans="2:15" ht="23.25">
      <c r="B20" s="20" t="s">
        <v>16</v>
      </c>
      <c r="C20" s="21">
        <v>863933481</v>
      </c>
      <c r="D20" s="21">
        <v>555462903</v>
      </c>
      <c r="E20" s="21">
        <v>133392969</v>
      </c>
      <c r="F20" s="21">
        <v>1377586926</v>
      </c>
      <c r="G20" s="21">
        <v>1377586926</v>
      </c>
      <c r="H20" s="21">
        <v>1200747404</v>
      </c>
      <c r="I20" s="21">
        <v>146197746</v>
      </c>
      <c r="J20" s="21">
        <v>30641776</v>
      </c>
      <c r="K20" s="21">
        <v>39076913</v>
      </c>
      <c r="L20" s="22">
        <v>0.8716309521654099</v>
      </c>
      <c r="M20" s="22">
        <v>0.10612596798120309</v>
      </c>
      <c r="O20" s="15">
        <v>1</v>
      </c>
    </row>
    <row r="21" spans="2:15" ht="23.25">
      <c r="B21" s="69" t="s">
        <v>17</v>
      </c>
      <c r="C21" s="67">
        <v>1255584792</v>
      </c>
      <c r="D21" s="67">
        <v>776568709</v>
      </c>
      <c r="E21" s="67">
        <v>179395166</v>
      </c>
      <c r="F21" s="67">
        <v>1963110423</v>
      </c>
      <c r="G21" s="67">
        <v>1965484605</v>
      </c>
      <c r="H21" s="67">
        <v>1621167179</v>
      </c>
      <c r="I21" s="67">
        <v>272360473</v>
      </c>
      <c r="J21" s="67">
        <v>71956953</v>
      </c>
      <c r="K21" s="67">
        <v>62224117</v>
      </c>
      <c r="L21" s="68">
        <v>0.8258155832734836</v>
      </c>
      <c r="M21" s="68">
        <v>0.13873925267218654</v>
      </c>
      <c r="O21" s="15">
        <v>1</v>
      </c>
    </row>
    <row r="22" spans="2:15" ht="23.25">
      <c r="B22" s="20" t="s">
        <v>20</v>
      </c>
      <c r="C22" s="21">
        <v>25473999</v>
      </c>
      <c r="D22" s="21">
        <v>11530681</v>
      </c>
      <c r="E22" s="21">
        <v>11378061</v>
      </c>
      <c r="F22" s="21">
        <v>83741396</v>
      </c>
      <c r="G22" s="21">
        <v>89061540</v>
      </c>
      <c r="H22" s="21">
        <v>80543927</v>
      </c>
      <c r="I22" s="21">
        <v>13445912</v>
      </c>
      <c r="J22" s="21">
        <v>-4928299</v>
      </c>
      <c r="K22" s="21">
        <v>-3062532</v>
      </c>
      <c r="L22" s="22">
        <v>0.9618173430020202</v>
      </c>
      <c r="M22" s="22">
        <v>0.16056469849153218</v>
      </c>
      <c r="O22" s="15">
        <v>1</v>
      </c>
    </row>
    <row r="23" spans="2:15" ht="23.25">
      <c r="B23" s="69" t="s">
        <v>21</v>
      </c>
      <c r="C23" s="67">
        <v>153215038</v>
      </c>
      <c r="D23" s="67">
        <v>57118293</v>
      </c>
      <c r="E23" s="67">
        <v>75568898</v>
      </c>
      <c r="F23" s="67">
        <v>516147781</v>
      </c>
      <c r="G23" s="67">
        <v>536050042</v>
      </c>
      <c r="H23" s="67">
        <v>490123649</v>
      </c>
      <c r="I23" s="67">
        <v>60543353</v>
      </c>
      <c r="J23" s="67">
        <v>-14616960</v>
      </c>
      <c r="K23" s="67">
        <v>-13622863</v>
      </c>
      <c r="L23" s="68">
        <v>0.9495800757884106</v>
      </c>
      <c r="M23" s="68">
        <v>0.11729848548937188</v>
      </c>
      <c r="O23" s="15">
        <v>1</v>
      </c>
    </row>
    <row r="24" ht="23.25">
      <c r="O24" s="15">
        <v>1</v>
      </c>
    </row>
    <row r="25" ht="23.25">
      <c r="O25" s="15">
        <v>1</v>
      </c>
    </row>
  </sheetData>
  <sheetProtection sheet="1" objects="1" scenarios="1"/>
  <mergeCells count="1">
    <mergeCell ref="B9:M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17</v>
      </c>
    </row>
    <row r="13" spans="2:13" ht="60.75" customHeight="1">
      <c r="B13" s="11" t="s">
        <v>42</v>
      </c>
      <c r="C13" s="11" t="s">
        <v>25</v>
      </c>
      <c r="D13" s="11" t="s">
        <v>26</v>
      </c>
      <c r="E13" s="11" t="s">
        <v>74</v>
      </c>
      <c r="F13" s="11" t="s">
        <v>28</v>
      </c>
      <c r="G13" s="11" t="s">
        <v>39</v>
      </c>
      <c r="H13" s="11" t="s">
        <v>30</v>
      </c>
      <c r="I13" s="11" t="s">
        <v>34</v>
      </c>
      <c r="J13" s="11" t="s">
        <v>33</v>
      </c>
      <c r="K13" s="11" t="s">
        <v>40</v>
      </c>
      <c r="L13" s="11" t="s">
        <v>31</v>
      </c>
      <c r="M13" s="11" t="s">
        <v>38</v>
      </c>
    </row>
    <row r="14" spans="2:15" ht="60.75" hidden="1">
      <c r="B14" s="11" t="s">
        <v>42</v>
      </c>
      <c r="C14" s="11" t="s">
        <v>25</v>
      </c>
      <c r="D14" s="11" t="s">
        <v>26</v>
      </c>
      <c r="E14" s="11" t="s">
        <v>27</v>
      </c>
      <c r="F14" s="11" t="s">
        <v>28</v>
      </c>
      <c r="G14" s="11" t="s">
        <v>39</v>
      </c>
      <c r="H14" s="11" t="s">
        <v>30</v>
      </c>
      <c r="I14" s="11" t="s">
        <v>34</v>
      </c>
      <c r="J14" s="11" t="s">
        <v>33</v>
      </c>
      <c r="K14" s="11" t="s">
        <v>40</v>
      </c>
      <c r="L14" s="11" t="s">
        <v>31</v>
      </c>
      <c r="M14" s="11" t="s">
        <v>38</v>
      </c>
      <c r="O14" s="14" t="s">
        <v>41</v>
      </c>
    </row>
    <row r="15" spans="2:15" ht="23.25">
      <c r="B15" s="36" t="s">
        <v>85</v>
      </c>
      <c r="C15" s="37">
        <v>1255584792</v>
      </c>
      <c r="D15" s="37">
        <v>776568709</v>
      </c>
      <c r="E15" s="37">
        <v>179395166</v>
      </c>
      <c r="F15" s="37">
        <v>1963110423</v>
      </c>
      <c r="G15" s="37">
        <v>1965484605</v>
      </c>
      <c r="H15" s="37">
        <v>1621167179</v>
      </c>
      <c r="I15" s="37">
        <v>272360473</v>
      </c>
      <c r="J15" s="37">
        <v>71956953</v>
      </c>
      <c r="K15" s="37">
        <v>62224117</v>
      </c>
      <c r="L15" s="38">
        <v>0.8258155832734836</v>
      </c>
      <c r="M15" s="38">
        <v>0.13873925267218654</v>
      </c>
      <c r="O15" s="15">
        <v>1</v>
      </c>
    </row>
    <row r="16" spans="2:15" ht="23.25">
      <c r="B16" s="53" t="s">
        <v>86</v>
      </c>
      <c r="C16" s="54">
        <v>1303016318</v>
      </c>
      <c r="D16" s="54">
        <v>828868917</v>
      </c>
      <c r="E16" s="54">
        <v>188200749</v>
      </c>
      <c r="F16" s="54">
        <v>1479052677</v>
      </c>
      <c r="G16" s="54">
        <v>1472593377</v>
      </c>
      <c r="H16" s="54">
        <v>1193537353</v>
      </c>
      <c r="I16" s="54">
        <v>203725413</v>
      </c>
      <c r="J16" s="54">
        <v>75330611</v>
      </c>
      <c r="K16" s="54">
        <v>74259894</v>
      </c>
      <c r="L16" s="55">
        <v>0.8069606793321804</v>
      </c>
      <c r="M16" s="55">
        <v>0.13774047143014637</v>
      </c>
      <c r="O16" s="15">
        <v>1</v>
      </c>
    </row>
    <row r="17" spans="2:15" ht="23.25">
      <c r="B17" s="36" t="s">
        <v>83</v>
      </c>
      <c r="C17" s="37">
        <v>1319079055</v>
      </c>
      <c r="D17" s="37">
        <v>765657388</v>
      </c>
      <c r="E17" s="37">
        <v>184878757</v>
      </c>
      <c r="F17" s="37">
        <v>990398305</v>
      </c>
      <c r="G17" s="37">
        <v>978518889</v>
      </c>
      <c r="H17" s="37">
        <v>800148458</v>
      </c>
      <c r="I17" s="37">
        <v>148683449</v>
      </c>
      <c r="J17" s="37">
        <v>29686982</v>
      </c>
      <c r="K17" s="37">
        <v>33288644</v>
      </c>
      <c r="L17" s="38">
        <v>0.8079057223346117</v>
      </c>
      <c r="M17" s="38">
        <v>0.15012490252595898</v>
      </c>
      <c r="O17" s="15">
        <v>1</v>
      </c>
    </row>
    <row r="18" spans="2:15" ht="23.25">
      <c r="B18" s="53" t="s">
        <v>82</v>
      </c>
      <c r="C18" s="54">
        <v>1258467575</v>
      </c>
      <c r="D18" s="54">
        <v>717672195</v>
      </c>
      <c r="E18" s="54">
        <v>189035493</v>
      </c>
      <c r="F18" s="54">
        <v>492259184</v>
      </c>
      <c r="G18" s="54">
        <v>487826702</v>
      </c>
      <c r="H18" s="54">
        <v>403302291</v>
      </c>
      <c r="I18" s="54">
        <v>96813708</v>
      </c>
      <c r="J18" s="54">
        <v>-12289297</v>
      </c>
      <c r="K18" s="54">
        <v>-6035742</v>
      </c>
      <c r="L18" s="55">
        <v>0.8192885051383826</v>
      </c>
      <c r="M18" s="55">
        <v>0.19667222298081086</v>
      </c>
      <c r="O18" s="15">
        <v>1</v>
      </c>
    </row>
    <row r="19" spans="2:15" ht="23.25">
      <c r="B19" s="36" t="s">
        <v>80</v>
      </c>
      <c r="C19" s="37">
        <v>1194792198</v>
      </c>
      <c r="D19" s="37">
        <v>730880423</v>
      </c>
      <c r="E19" s="37">
        <v>177446122</v>
      </c>
      <c r="F19" s="37">
        <v>1928013236</v>
      </c>
      <c r="G19" s="37">
        <v>1913431308</v>
      </c>
      <c r="H19" s="37">
        <v>1602445048</v>
      </c>
      <c r="I19" s="37">
        <v>227824725</v>
      </c>
      <c r="J19" s="37">
        <v>83161535</v>
      </c>
      <c r="K19" s="37">
        <v>78766132</v>
      </c>
      <c r="L19" s="38">
        <v>0.8311379912124214</v>
      </c>
      <c r="M19" s="38">
        <v>0.11816553991748634</v>
      </c>
      <c r="O19" s="15">
        <v>1</v>
      </c>
    </row>
    <row r="20" spans="2:15" ht="23.25">
      <c r="B20" s="53" t="s">
        <v>79</v>
      </c>
      <c r="C20" s="54">
        <v>1253363264</v>
      </c>
      <c r="D20" s="54">
        <v>730821402</v>
      </c>
      <c r="E20" s="54">
        <v>202866529</v>
      </c>
      <c r="F20" s="54">
        <v>1443492697</v>
      </c>
      <c r="G20" s="54">
        <v>1431556933</v>
      </c>
      <c r="H20" s="54">
        <v>1196297995</v>
      </c>
      <c r="I20" s="54">
        <v>167117239</v>
      </c>
      <c r="J20" s="54">
        <v>68141699</v>
      </c>
      <c r="K20" s="54">
        <v>65049435</v>
      </c>
      <c r="L20" s="55">
        <v>0.8287523708892031</v>
      </c>
      <c r="M20" s="55">
        <v>0.11577283303706247</v>
      </c>
      <c r="O20" s="15">
        <v>1</v>
      </c>
    </row>
    <row r="21" spans="2:15" ht="23.25">
      <c r="B21" s="36" t="s">
        <v>77</v>
      </c>
      <c r="C21" s="37">
        <v>1202265472</v>
      </c>
      <c r="D21" s="37">
        <v>713136810</v>
      </c>
      <c r="E21" s="37">
        <v>195474550</v>
      </c>
      <c r="F21" s="37">
        <v>966674423</v>
      </c>
      <c r="G21" s="37">
        <v>962566428</v>
      </c>
      <c r="H21" s="37">
        <v>797270172</v>
      </c>
      <c r="I21" s="37">
        <v>112042775</v>
      </c>
      <c r="J21" s="37">
        <v>53253481</v>
      </c>
      <c r="K21" s="37">
        <v>51115032</v>
      </c>
      <c r="L21" s="38">
        <v>0.8247556292280219</v>
      </c>
      <c r="M21" s="38">
        <v>0.11590538896465662</v>
      </c>
      <c r="O21" s="15">
        <v>1</v>
      </c>
    </row>
    <row r="22" spans="2:15" ht="23.25">
      <c r="B22" s="53" t="s">
        <v>76</v>
      </c>
      <c r="C22" s="54">
        <v>1178720871</v>
      </c>
      <c r="D22" s="54">
        <v>672204047</v>
      </c>
      <c r="E22" s="54">
        <v>220118684</v>
      </c>
      <c r="F22" s="54">
        <v>479160290</v>
      </c>
      <c r="G22" s="54">
        <v>479160290</v>
      </c>
      <c r="H22" s="54">
        <v>414678126</v>
      </c>
      <c r="I22" s="54">
        <v>57355473</v>
      </c>
      <c r="J22" s="54">
        <v>7126691</v>
      </c>
      <c r="K22" s="54">
        <v>15852968</v>
      </c>
      <c r="L22" s="55">
        <v>0.8654267364267603</v>
      </c>
      <c r="M22" s="55">
        <v>0.11969997138118436</v>
      </c>
      <c r="O22" s="15">
        <v>1</v>
      </c>
    </row>
    <row r="23" spans="2:15" ht="23.25">
      <c r="B23" s="36" t="s">
        <v>75</v>
      </c>
      <c r="C23" s="37">
        <v>1092931044</v>
      </c>
      <c r="D23" s="37">
        <v>660969969</v>
      </c>
      <c r="E23" s="37">
        <v>190826931</v>
      </c>
      <c r="F23" s="37">
        <v>1780829618</v>
      </c>
      <c r="G23" s="37">
        <v>1780829618</v>
      </c>
      <c r="H23" s="37">
        <v>1496458787</v>
      </c>
      <c r="I23" s="37">
        <v>255475814</v>
      </c>
      <c r="J23" s="37">
        <v>28895017</v>
      </c>
      <c r="K23" s="37">
        <v>30214856</v>
      </c>
      <c r="L23" s="38">
        <v>0.8403155315221178</v>
      </c>
      <c r="M23" s="38">
        <v>0.14345887524429077</v>
      </c>
      <c r="O23" s="15">
        <v>1</v>
      </c>
    </row>
    <row r="24" spans="2:15" ht="23.25">
      <c r="B24" s="53" t="s">
        <v>73</v>
      </c>
      <c r="C24" s="54">
        <v>1142179777</v>
      </c>
      <c r="D24" s="54">
        <v>661129931</v>
      </c>
      <c r="E24" s="54">
        <v>206038696</v>
      </c>
      <c r="F24" s="54">
        <v>1339485442</v>
      </c>
      <c r="G24" s="54">
        <v>1339485442</v>
      </c>
      <c r="H24" s="54">
        <v>1127383631</v>
      </c>
      <c r="I24" s="54">
        <v>192542948</v>
      </c>
      <c r="J24" s="54">
        <v>19558863</v>
      </c>
      <c r="K24" s="54">
        <v>22904087</v>
      </c>
      <c r="L24" s="55">
        <v>0.8416542618908135</v>
      </c>
      <c r="M24" s="55">
        <v>0.14374396463205458</v>
      </c>
      <c r="O24" s="15">
        <v>1</v>
      </c>
    </row>
    <row r="25" spans="2:15" ht="23.25">
      <c r="B25" s="36" t="s">
        <v>44</v>
      </c>
      <c r="C25" s="37">
        <v>1078714155</v>
      </c>
      <c r="D25" s="37">
        <v>642584138</v>
      </c>
      <c r="E25" s="37">
        <v>196521832</v>
      </c>
      <c r="F25" s="37">
        <v>885495136</v>
      </c>
      <c r="G25" s="37">
        <v>885495136</v>
      </c>
      <c r="H25" s="37">
        <v>744525530</v>
      </c>
      <c r="I25" s="37">
        <v>137003555</v>
      </c>
      <c r="J25" s="37">
        <v>3966051</v>
      </c>
      <c r="K25" s="37">
        <v>3047356</v>
      </c>
      <c r="L25" s="38">
        <v>0.8408013773663462</v>
      </c>
      <c r="M25" s="38">
        <v>0.15471971491439113</v>
      </c>
      <c r="O25" s="15">
        <v>1</v>
      </c>
    </row>
    <row r="26" spans="2:15" ht="23.25">
      <c r="B26" s="53" t="s">
        <v>43</v>
      </c>
      <c r="C26" s="54">
        <v>1047318370</v>
      </c>
      <c r="D26" s="54">
        <v>626594948</v>
      </c>
      <c r="E26" s="54">
        <v>196638262</v>
      </c>
      <c r="F26" s="54">
        <v>438877405</v>
      </c>
      <c r="G26" s="54">
        <v>438877405</v>
      </c>
      <c r="H26" s="54">
        <v>362994625</v>
      </c>
      <c r="I26" s="54">
        <v>86331797</v>
      </c>
      <c r="J26" s="54">
        <v>-10449017</v>
      </c>
      <c r="K26" s="54">
        <v>-12717421</v>
      </c>
      <c r="L26" s="55">
        <v>0.8270980024592517</v>
      </c>
      <c r="M26" s="55">
        <v>0.19671050734543966</v>
      </c>
      <c r="O26" s="15">
        <v>1</v>
      </c>
    </row>
    <row r="27" spans="2:15" ht="23.25">
      <c r="B27" s="36" t="s">
        <v>45</v>
      </c>
      <c r="C27" s="37">
        <v>1045760007</v>
      </c>
      <c r="D27" s="37">
        <v>639241327</v>
      </c>
      <c r="E27" s="37">
        <v>210157862</v>
      </c>
      <c r="F27" s="37">
        <v>1877604843</v>
      </c>
      <c r="G27" s="37">
        <v>1877604843</v>
      </c>
      <c r="H27" s="37">
        <v>1590320643</v>
      </c>
      <c r="I27" s="37">
        <v>289937763</v>
      </c>
      <c r="J27" s="37">
        <v>-2653563</v>
      </c>
      <c r="K27" s="37">
        <v>25831413</v>
      </c>
      <c r="L27" s="38">
        <v>0.8469943230754652</v>
      </c>
      <c r="M27" s="38">
        <v>0.1544189471394541</v>
      </c>
      <c r="O27" s="15"/>
    </row>
    <row r="28" spans="2:15" ht="23.25">
      <c r="B28" s="53" t="s">
        <v>46</v>
      </c>
      <c r="C28" s="54">
        <v>1048904919</v>
      </c>
      <c r="D28" s="54">
        <v>636340729</v>
      </c>
      <c r="E28" s="54">
        <v>215453172</v>
      </c>
      <c r="F28" s="54">
        <v>1416021161</v>
      </c>
      <c r="G28" s="54">
        <v>1416021161</v>
      </c>
      <c r="H28" s="54">
        <v>1192494703</v>
      </c>
      <c r="I28" s="54">
        <v>221457722</v>
      </c>
      <c r="J28" s="54">
        <v>2068736</v>
      </c>
      <c r="K28" s="54">
        <v>28147979</v>
      </c>
      <c r="L28" s="55">
        <v>0.8421446909436405</v>
      </c>
      <c r="M28" s="55">
        <v>0.15639435913768807</v>
      </c>
      <c r="O28" s="15">
        <v>1</v>
      </c>
    </row>
    <row r="29" spans="2:15" ht="23.25">
      <c r="B29" s="36" t="s">
        <v>47</v>
      </c>
      <c r="C29" s="37">
        <v>1063975048</v>
      </c>
      <c r="D29" s="37">
        <v>627748640</v>
      </c>
      <c r="E29" s="37">
        <v>211022522</v>
      </c>
      <c r="F29" s="37">
        <v>940400764</v>
      </c>
      <c r="G29" s="37">
        <v>940400764</v>
      </c>
      <c r="H29" s="37">
        <v>799589249</v>
      </c>
      <c r="I29" s="37">
        <v>157444549</v>
      </c>
      <c r="J29" s="37">
        <v>-16633034</v>
      </c>
      <c r="K29" s="37">
        <v>-4264089</v>
      </c>
      <c r="L29" s="38">
        <v>0.8502643549532463</v>
      </c>
      <c r="M29" s="38">
        <v>0.16742282123454336</v>
      </c>
      <c r="O29" s="15"/>
    </row>
    <row r="30" spans="2:15" ht="23.25">
      <c r="B30" s="53" t="s">
        <v>48</v>
      </c>
      <c r="C30" s="54">
        <v>1030781123</v>
      </c>
      <c r="D30" s="54">
        <v>617809502</v>
      </c>
      <c r="E30" s="54">
        <v>196695310</v>
      </c>
      <c r="F30" s="54">
        <v>463336057</v>
      </c>
      <c r="G30" s="54">
        <v>463336057</v>
      </c>
      <c r="H30" s="54">
        <v>390625580</v>
      </c>
      <c r="I30" s="54">
        <v>95585414</v>
      </c>
      <c r="J30" s="54">
        <v>-22874937</v>
      </c>
      <c r="K30" s="54">
        <v>-14458066</v>
      </c>
      <c r="L30" s="55">
        <v>0.8430718354388724</v>
      </c>
      <c r="M30" s="55">
        <v>0.20629824196911142</v>
      </c>
      <c r="O30" s="15"/>
    </row>
    <row r="31" spans="2:15" ht="23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17</v>
      </c>
      <c r="O33" s="15">
        <v>1</v>
      </c>
    </row>
    <row r="34" spans="2:15" ht="60.75" customHeight="1">
      <c r="B34" s="11" t="s">
        <v>23</v>
      </c>
      <c r="C34" s="11" t="s">
        <v>25</v>
      </c>
      <c r="D34" s="11" t="s">
        <v>26</v>
      </c>
      <c r="E34" s="11" t="s">
        <v>74</v>
      </c>
      <c r="F34" s="11" t="s">
        <v>28</v>
      </c>
      <c r="G34" s="11" t="s">
        <v>39</v>
      </c>
      <c r="H34" s="11" t="s">
        <v>30</v>
      </c>
      <c r="I34" s="11" t="s">
        <v>34</v>
      </c>
      <c r="J34" s="11" t="s">
        <v>33</v>
      </c>
      <c r="K34" s="11" t="s">
        <v>40</v>
      </c>
      <c r="L34" s="11" t="s">
        <v>31</v>
      </c>
      <c r="M34" s="11" t="s">
        <v>38</v>
      </c>
      <c r="O34" s="15">
        <v>1</v>
      </c>
    </row>
    <row r="35" spans="2:15" ht="51" hidden="1">
      <c r="B35" s="11" t="s">
        <v>23</v>
      </c>
      <c r="C35" s="11" t="s">
        <v>25</v>
      </c>
      <c r="D35" s="11" t="s">
        <v>26</v>
      </c>
      <c r="E35" s="11" t="s">
        <v>27</v>
      </c>
      <c r="F35" s="11" t="s">
        <v>28</v>
      </c>
      <c r="G35" s="11" t="s">
        <v>39</v>
      </c>
      <c r="H35" s="11" t="s">
        <v>30</v>
      </c>
      <c r="I35" s="11" t="s">
        <v>34</v>
      </c>
      <c r="J35" s="11" t="s">
        <v>33</v>
      </c>
      <c r="K35" s="11" t="s">
        <v>40</v>
      </c>
      <c r="L35" s="11" t="s">
        <v>31</v>
      </c>
      <c r="M35" s="11" t="s">
        <v>38</v>
      </c>
      <c r="O35" s="15">
        <v>1</v>
      </c>
    </row>
    <row r="36" spans="2:15" ht="23.25">
      <c r="B36" s="36" t="s">
        <v>53</v>
      </c>
      <c r="C36" s="37">
        <v>1039743203</v>
      </c>
      <c r="D36" s="37">
        <v>635259622</v>
      </c>
      <c r="E36" s="37">
        <v>204560469</v>
      </c>
      <c r="F36" s="37">
        <v>1857755451</v>
      </c>
      <c r="G36" s="37">
        <v>1871432064</v>
      </c>
      <c r="H36" s="37">
        <v>1618077167</v>
      </c>
      <c r="I36" s="37">
        <v>286270280</v>
      </c>
      <c r="J36" s="37">
        <v>-32915383</v>
      </c>
      <c r="K36" s="37">
        <v>35876103</v>
      </c>
      <c r="L36" s="38">
        <v>0.8709850191148759</v>
      </c>
      <c r="M36" s="38">
        <v>0.15409470597753072</v>
      </c>
      <c r="O36" s="15">
        <v>1</v>
      </c>
    </row>
    <row r="37" spans="2:15" ht="23.25">
      <c r="B37" s="7" t="s">
        <v>54</v>
      </c>
      <c r="C37" s="17">
        <v>1008235016</v>
      </c>
      <c r="D37" s="17">
        <v>627309807</v>
      </c>
      <c r="E37" s="17">
        <v>192273361</v>
      </c>
      <c r="F37" s="17">
        <v>1891155543</v>
      </c>
      <c r="G37" s="17">
        <v>1891155543</v>
      </c>
      <c r="H37" s="17">
        <v>1634003941</v>
      </c>
      <c r="I37" s="17">
        <v>264807507</v>
      </c>
      <c r="J37" s="17">
        <v>95725661</v>
      </c>
      <c r="K37" s="17">
        <v>17947524</v>
      </c>
      <c r="L37" s="8">
        <v>0.8640240867802591</v>
      </c>
      <c r="M37" s="8">
        <v>0.14002418150118284</v>
      </c>
      <c r="O37" s="15">
        <v>1</v>
      </c>
    </row>
    <row r="38" spans="2:15" ht="23.25">
      <c r="B38" s="36" t="s">
        <v>55</v>
      </c>
      <c r="C38" s="37">
        <v>938365997</v>
      </c>
      <c r="D38" s="37">
        <v>564960398</v>
      </c>
      <c r="E38" s="37">
        <v>187112733</v>
      </c>
      <c r="F38" s="37">
        <v>1852509161</v>
      </c>
      <c r="G38" s="37">
        <v>1852509161</v>
      </c>
      <c r="H38" s="37">
        <v>1562772940</v>
      </c>
      <c r="I38" s="37">
        <v>273186984</v>
      </c>
      <c r="J38" s="37">
        <v>16549237</v>
      </c>
      <c r="K38" s="37">
        <v>43188312</v>
      </c>
      <c r="L38" s="38">
        <v>0.8435979550872515</v>
      </c>
      <c r="M38" s="38">
        <v>0.14746862782180864</v>
      </c>
      <c r="O38" s="15">
        <v>1</v>
      </c>
    </row>
    <row r="39" spans="2:15" ht="23.25">
      <c r="B39" s="7" t="s">
        <v>56</v>
      </c>
      <c r="C39" s="17">
        <v>934713178</v>
      </c>
      <c r="D39" s="17">
        <v>522000538</v>
      </c>
      <c r="E39" s="17">
        <v>209886130</v>
      </c>
      <c r="F39" s="17">
        <v>1865874980</v>
      </c>
      <c r="G39" s="17">
        <v>1865874980</v>
      </c>
      <c r="H39" s="17">
        <v>1610730341</v>
      </c>
      <c r="I39" s="17">
        <v>272456454</v>
      </c>
      <c r="J39" s="17">
        <v>-17311815</v>
      </c>
      <c r="K39" s="17">
        <v>6932273</v>
      </c>
      <c r="L39" s="8">
        <v>0.8632573769760287</v>
      </c>
      <c r="M39" s="8">
        <v>0.14602074464817574</v>
      </c>
      <c r="O39" s="15">
        <v>1</v>
      </c>
    </row>
    <row r="40" spans="2:15" ht="23.25">
      <c r="B40" s="36" t="s">
        <v>57</v>
      </c>
      <c r="C40" s="37">
        <v>933530882</v>
      </c>
      <c r="D40" s="37">
        <v>544163691</v>
      </c>
      <c r="E40" s="37">
        <v>161952696</v>
      </c>
      <c r="F40" s="37">
        <v>1892922218</v>
      </c>
      <c r="G40" s="37">
        <v>1892922218</v>
      </c>
      <c r="H40" s="37">
        <v>1560421394</v>
      </c>
      <c r="I40" s="37">
        <v>296385558</v>
      </c>
      <c r="J40" s="37">
        <v>36115266</v>
      </c>
      <c r="K40" s="37">
        <v>75158557</v>
      </c>
      <c r="L40" s="38">
        <v>0.8243452262125649</v>
      </c>
      <c r="M40" s="38">
        <v>0.15657566654437144</v>
      </c>
      <c r="O40" s="15">
        <v>1</v>
      </c>
    </row>
    <row r="41" spans="2:15" ht="23.25">
      <c r="B41" s="7" t="s">
        <v>58</v>
      </c>
      <c r="C41" s="17">
        <v>1000273997</v>
      </c>
      <c r="D41" s="17">
        <v>565197607</v>
      </c>
      <c r="E41" s="17">
        <v>252571331</v>
      </c>
      <c r="F41" s="17">
        <v>2440405372</v>
      </c>
      <c r="G41" s="17">
        <v>2440405372</v>
      </c>
      <c r="H41" s="17">
        <v>2130598739</v>
      </c>
      <c r="I41" s="17">
        <v>311857693</v>
      </c>
      <c r="J41" s="17">
        <v>-2051060</v>
      </c>
      <c r="K41" s="17">
        <v>21885285</v>
      </c>
      <c r="L41" s="8">
        <v>0.8730511592235587</v>
      </c>
      <c r="M41" s="8">
        <v>0.12778929950659032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>
        <v>1</v>
      </c>
    </row>
    <row r="45" ht="23.25" customHeight="1">
      <c r="O45" s="15"/>
    </row>
    <row r="46" ht="23.25" customHeight="1">
      <c r="O46" s="15"/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O47"/>
  <sheetViews>
    <sheetView showGridLines="0" zoomScalePageLayoutView="0" workbookViewId="0" topLeftCell="A1">
      <pane ySplit="10" topLeftCell="A11" activePane="bottomLeft" state="frozen"/>
      <selection pane="topLeft" activeCell="A27" sqref="A27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71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20</v>
      </c>
    </row>
    <row r="13" spans="2:13" ht="60.75" customHeight="1">
      <c r="B13" s="13" t="s">
        <v>42</v>
      </c>
      <c r="C13" s="13" t="s">
        <v>25</v>
      </c>
      <c r="D13" s="13" t="s">
        <v>26</v>
      </c>
      <c r="E13" s="13" t="s">
        <v>74</v>
      </c>
      <c r="F13" s="13" t="s">
        <v>28</v>
      </c>
      <c r="G13" s="13" t="s">
        <v>39</v>
      </c>
      <c r="H13" s="13" t="s">
        <v>30</v>
      </c>
      <c r="I13" s="13" t="s">
        <v>34</v>
      </c>
      <c r="J13" s="13" t="s">
        <v>33</v>
      </c>
      <c r="K13" s="13" t="s">
        <v>40</v>
      </c>
      <c r="L13" s="13" t="s">
        <v>31</v>
      </c>
      <c r="M13" s="13" t="s">
        <v>38</v>
      </c>
    </row>
    <row r="14" spans="2:15" ht="60.75" hidden="1">
      <c r="B14" s="13" t="s">
        <v>42</v>
      </c>
      <c r="C14" s="13" t="s">
        <v>25</v>
      </c>
      <c r="D14" s="13" t="s">
        <v>26</v>
      </c>
      <c r="E14" s="13" t="s">
        <v>27</v>
      </c>
      <c r="F14" s="13" t="s">
        <v>28</v>
      </c>
      <c r="G14" s="13" t="s">
        <v>39</v>
      </c>
      <c r="H14" s="13" t="s">
        <v>30</v>
      </c>
      <c r="I14" s="13" t="s">
        <v>34</v>
      </c>
      <c r="J14" s="13" t="s">
        <v>33</v>
      </c>
      <c r="K14" s="13" t="s">
        <v>40</v>
      </c>
      <c r="L14" s="13" t="s">
        <v>31</v>
      </c>
      <c r="M14" s="13" t="s">
        <v>38</v>
      </c>
      <c r="O14" s="14" t="s">
        <v>41</v>
      </c>
    </row>
    <row r="15" spans="2:15" ht="23.25">
      <c r="B15" s="39" t="s">
        <v>85</v>
      </c>
      <c r="C15" s="40">
        <v>25473999</v>
      </c>
      <c r="D15" s="40">
        <v>11530681</v>
      </c>
      <c r="E15" s="40">
        <v>11378061</v>
      </c>
      <c r="F15" s="40">
        <v>83741396</v>
      </c>
      <c r="G15" s="40">
        <v>89061540</v>
      </c>
      <c r="H15" s="40">
        <v>80543927</v>
      </c>
      <c r="I15" s="40">
        <v>13445912</v>
      </c>
      <c r="J15" s="40">
        <v>-4928299</v>
      </c>
      <c r="K15" s="40">
        <v>-3062532</v>
      </c>
      <c r="L15" s="41">
        <v>0.9618173430020202</v>
      </c>
      <c r="M15" s="41">
        <v>0.16056469849153218</v>
      </c>
      <c r="O15" s="15">
        <v>1</v>
      </c>
    </row>
    <row r="16" spans="2:15" ht="23.25">
      <c r="B16" s="53" t="s">
        <v>86</v>
      </c>
      <c r="C16" s="54">
        <v>27900830</v>
      </c>
      <c r="D16" s="54">
        <v>13100247</v>
      </c>
      <c r="E16" s="54">
        <v>10856790</v>
      </c>
      <c r="F16" s="54">
        <v>63820696</v>
      </c>
      <c r="G16" s="54">
        <v>67807428</v>
      </c>
      <c r="H16" s="54">
        <v>61128150</v>
      </c>
      <c r="I16" s="54">
        <v>9535048</v>
      </c>
      <c r="J16" s="54">
        <v>-2855771</v>
      </c>
      <c r="K16" s="54">
        <v>-2021128</v>
      </c>
      <c r="L16" s="55">
        <v>0.9578107703494804</v>
      </c>
      <c r="M16" s="55">
        <v>0.1494036981357897</v>
      </c>
      <c r="O16" s="15">
        <v>1</v>
      </c>
    </row>
    <row r="17" spans="2:15" ht="23.25">
      <c r="B17" s="39" t="s">
        <v>83</v>
      </c>
      <c r="C17" s="40">
        <v>31846637</v>
      </c>
      <c r="D17" s="40">
        <v>13449520</v>
      </c>
      <c r="E17" s="40">
        <v>9597514</v>
      </c>
      <c r="F17" s="40">
        <v>41908002</v>
      </c>
      <c r="G17" s="40">
        <v>44323456</v>
      </c>
      <c r="H17" s="40">
        <v>40133599</v>
      </c>
      <c r="I17" s="40">
        <v>6388352</v>
      </c>
      <c r="J17" s="40">
        <v>-2198496</v>
      </c>
      <c r="K17" s="40">
        <v>-1514601</v>
      </c>
      <c r="L17" s="41">
        <v>0.9576595658270705</v>
      </c>
      <c r="M17" s="41">
        <v>0.15243752255237555</v>
      </c>
      <c r="O17" s="15">
        <v>1</v>
      </c>
    </row>
    <row r="18" spans="2:15" ht="23.25">
      <c r="B18" s="53" t="s">
        <v>82</v>
      </c>
      <c r="C18" s="54">
        <v>33655536</v>
      </c>
      <c r="D18" s="54">
        <v>14151782</v>
      </c>
      <c r="E18" s="54">
        <v>10640653</v>
      </c>
      <c r="F18" s="54">
        <v>20435059</v>
      </c>
      <c r="G18" s="54">
        <v>21599340</v>
      </c>
      <c r="H18" s="54">
        <v>19311287</v>
      </c>
      <c r="I18" s="54">
        <v>3161918</v>
      </c>
      <c r="J18" s="54">
        <v>-873864</v>
      </c>
      <c r="K18" s="54">
        <v>-592674</v>
      </c>
      <c r="L18" s="55">
        <v>0.9450076459284996</v>
      </c>
      <c r="M18" s="55">
        <v>0.15473006464038103</v>
      </c>
      <c r="O18" s="15">
        <v>1</v>
      </c>
    </row>
    <row r="19" spans="2:15" ht="23.25">
      <c r="B19" s="39" t="s">
        <v>80</v>
      </c>
      <c r="C19" s="40">
        <v>30764164</v>
      </c>
      <c r="D19" s="40">
        <v>15304850</v>
      </c>
      <c r="E19" s="40">
        <v>11324245</v>
      </c>
      <c r="F19" s="40">
        <v>81281065</v>
      </c>
      <c r="G19" s="40">
        <v>92195782</v>
      </c>
      <c r="H19" s="40">
        <v>72613441</v>
      </c>
      <c r="I19" s="40">
        <v>12093306</v>
      </c>
      <c r="J19" s="40">
        <v>7489034</v>
      </c>
      <c r="K19" s="40">
        <v>4524051</v>
      </c>
      <c r="L19" s="41">
        <v>0.8933623224548054</v>
      </c>
      <c r="M19" s="41">
        <v>0.14878380346025238</v>
      </c>
      <c r="O19" s="15">
        <v>1</v>
      </c>
    </row>
    <row r="20" spans="2:15" ht="23.25">
      <c r="B20" s="53" t="s">
        <v>79</v>
      </c>
      <c r="C20" s="54">
        <v>35832537</v>
      </c>
      <c r="D20" s="54">
        <v>12414164</v>
      </c>
      <c r="E20" s="54">
        <v>14622908</v>
      </c>
      <c r="F20" s="54">
        <v>63372088</v>
      </c>
      <c r="G20" s="54">
        <v>71558634</v>
      </c>
      <c r="H20" s="54">
        <v>58574664</v>
      </c>
      <c r="I20" s="54">
        <v>8780517</v>
      </c>
      <c r="J20" s="54">
        <v>4203452</v>
      </c>
      <c r="K20" s="54">
        <v>2849756</v>
      </c>
      <c r="L20" s="55">
        <v>0.9242975235406478</v>
      </c>
      <c r="M20" s="55">
        <v>0.13855495813866825</v>
      </c>
      <c r="O20" s="15">
        <v>1</v>
      </c>
    </row>
    <row r="21" spans="2:15" ht="23.25">
      <c r="B21" s="39" t="s">
        <v>77</v>
      </c>
      <c r="C21" s="40">
        <v>30625052</v>
      </c>
      <c r="D21" s="40">
        <v>11066822</v>
      </c>
      <c r="E21" s="40">
        <v>12123488</v>
      </c>
      <c r="F21" s="40">
        <v>38939609</v>
      </c>
      <c r="G21" s="40">
        <v>44385499</v>
      </c>
      <c r="H21" s="40">
        <v>37629317</v>
      </c>
      <c r="I21" s="40">
        <v>5327561</v>
      </c>
      <c r="J21" s="40">
        <v>1428621</v>
      </c>
      <c r="K21" s="40">
        <v>741458</v>
      </c>
      <c r="L21" s="41">
        <v>0.966350663664856</v>
      </c>
      <c r="M21" s="41">
        <v>0.13681598600540648</v>
      </c>
      <c r="O21" s="15">
        <v>1</v>
      </c>
    </row>
    <row r="22" spans="2:15" ht="23.25">
      <c r="B22" s="53" t="s">
        <v>76</v>
      </c>
      <c r="C22" s="54">
        <v>28779243</v>
      </c>
      <c r="D22" s="54">
        <v>10918151</v>
      </c>
      <c r="E22" s="54">
        <v>9571070</v>
      </c>
      <c r="F22" s="54">
        <v>19764631</v>
      </c>
      <c r="G22" s="54">
        <v>22456954</v>
      </c>
      <c r="H22" s="54">
        <v>17962336</v>
      </c>
      <c r="I22" s="54">
        <v>2577096</v>
      </c>
      <c r="J22" s="54">
        <v>1917522</v>
      </c>
      <c r="K22" s="54">
        <v>1261664</v>
      </c>
      <c r="L22" s="55">
        <v>0.908812109874452</v>
      </c>
      <c r="M22" s="55">
        <v>0.13038927971890799</v>
      </c>
      <c r="O22" s="15">
        <v>1</v>
      </c>
    </row>
    <row r="23" spans="2:15" ht="23.25">
      <c r="B23" s="39" t="s">
        <v>75</v>
      </c>
      <c r="C23" s="40">
        <v>20831017</v>
      </c>
      <c r="D23" s="40">
        <v>9642845</v>
      </c>
      <c r="E23" s="40">
        <v>8896907</v>
      </c>
      <c r="F23" s="40">
        <v>64756613</v>
      </c>
      <c r="G23" s="40">
        <v>73380883</v>
      </c>
      <c r="H23" s="40">
        <v>59866945</v>
      </c>
      <c r="I23" s="40">
        <v>9433691</v>
      </c>
      <c r="J23" s="40">
        <v>4080246</v>
      </c>
      <c r="K23" s="40">
        <v>2797614</v>
      </c>
      <c r="L23" s="41">
        <v>0.9244916036606177</v>
      </c>
      <c r="M23" s="41">
        <v>0.14567919109666838</v>
      </c>
      <c r="O23" s="15">
        <v>1</v>
      </c>
    </row>
    <row r="24" spans="2:15" ht="23.25">
      <c r="B24" s="53" t="s">
        <v>73</v>
      </c>
      <c r="C24" s="54">
        <v>24469482</v>
      </c>
      <c r="D24" s="54">
        <v>8402604</v>
      </c>
      <c r="E24" s="54">
        <v>10657119</v>
      </c>
      <c r="F24" s="54">
        <v>48867381</v>
      </c>
      <c r="G24" s="54">
        <v>55409884</v>
      </c>
      <c r="H24" s="54">
        <v>46972713</v>
      </c>
      <c r="I24" s="54">
        <v>6718858</v>
      </c>
      <c r="J24" s="54">
        <v>1618314</v>
      </c>
      <c r="K24" s="54">
        <v>1384370</v>
      </c>
      <c r="L24" s="55">
        <v>0.961228370311067</v>
      </c>
      <c r="M24" s="55">
        <v>0.1374916736380859</v>
      </c>
      <c r="O24" s="15">
        <v>1</v>
      </c>
    </row>
    <row r="25" spans="2:15" ht="23.25">
      <c r="B25" s="39" t="s">
        <v>44</v>
      </c>
      <c r="C25" s="40">
        <v>16995458</v>
      </c>
      <c r="D25" s="40">
        <v>7818779</v>
      </c>
      <c r="E25" s="40">
        <v>8351734</v>
      </c>
      <c r="F25" s="40">
        <v>31077851</v>
      </c>
      <c r="G25" s="40">
        <v>35373914</v>
      </c>
      <c r="H25" s="40">
        <v>30896110</v>
      </c>
      <c r="I25" s="40">
        <v>4270936</v>
      </c>
      <c r="J25" s="40">
        <v>206868</v>
      </c>
      <c r="K25" s="40">
        <v>186007</v>
      </c>
      <c r="L25" s="41">
        <v>0.9941520731275789</v>
      </c>
      <c r="M25" s="41">
        <v>0.13742700549018014</v>
      </c>
      <c r="O25" s="15">
        <v>1</v>
      </c>
    </row>
    <row r="26" spans="2:15" ht="23.25">
      <c r="B26" s="53" t="s">
        <v>43</v>
      </c>
      <c r="C26" s="54">
        <v>17950592</v>
      </c>
      <c r="D26" s="54">
        <v>8366727</v>
      </c>
      <c r="E26" s="54">
        <v>9173595</v>
      </c>
      <c r="F26" s="54">
        <v>15238257</v>
      </c>
      <c r="G26" s="54">
        <v>17363790</v>
      </c>
      <c r="H26" s="54">
        <v>15207296</v>
      </c>
      <c r="I26" s="54">
        <v>1988608</v>
      </c>
      <c r="J26" s="54">
        <v>167885</v>
      </c>
      <c r="K26" s="54">
        <v>190901</v>
      </c>
      <c r="L26" s="55">
        <v>0.9979682059437638</v>
      </c>
      <c r="M26" s="55">
        <v>0.13050101465016636</v>
      </c>
      <c r="O26" s="15">
        <v>1</v>
      </c>
    </row>
    <row r="27" spans="2:15" ht="23.25">
      <c r="B27" s="39" t="s">
        <v>45</v>
      </c>
      <c r="C27" s="40">
        <v>17417572</v>
      </c>
      <c r="D27" s="40">
        <v>8200126</v>
      </c>
      <c r="E27" s="40">
        <v>7503760</v>
      </c>
      <c r="F27" s="40">
        <v>52766345</v>
      </c>
      <c r="G27" s="40">
        <v>61051759</v>
      </c>
      <c r="H27" s="40">
        <v>54038823</v>
      </c>
      <c r="I27" s="40">
        <v>8356342</v>
      </c>
      <c r="J27" s="40">
        <v>-1343406</v>
      </c>
      <c r="K27" s="40">
        <v>-836030</v>
      </c>
      <c r="L27" s="41">
        <v>1.0241153333625819</v>
      </c>
      <c r="M27" s="41">
        <v>0.1583649957183883</v>
      </c>
      <c r="O27" s="15"/>
    </row>
    <row r="28" spans="2:15" ht="23.25" customHeight="1">
      <c r="B28" s="53" t="s">
        <v>46</v>
      </c>
      <c r="C28" s="54">
        <v>14716007</v>
      </c>
      <c r="D28" s="54">
        <v>7296049</v>
      </c>
      <c r="E28" s="54">
        <v>6060262</v>
      </c>
      <c r="F28" s="54">
        <v>41771225</v>
      </c>
      <c r="G28" s="54">
        <v>41771225</v>
      </c>
      <c r="H28" s="54">
        <v>38065645</v>
      </c>
      <c r="I28" s="54">
        <v>5944826</v>
      </c>
      <c r="J28" s="54">
        <v>-2239246</v>
      </c>
      <c r="K28" s="54">
        <v>-1569559</v>
      </c>
      <c r="L28" s="55">
        <v>0.911288692155904</v>
      </c>
      <c r="M28" s="55">
        <v>0.14231868948061735</v>
      </c>
      <c r="O28" s="15">
        <v>1</v>
      </c>
    </row>
    <row r="29" spans="2:15" ht="23.25" customHeight="1">
      <c r="B29" s="39" t="s">
        <v>47</v>
      </c>
      <c r="C29" s="40">
        <v>14772611</v>
      </c>
      <c r="D29" s="40">
        <v>7932482</v>
      </c>
      <c r="E29" s="40">
        <v>6666383</v>
      </c>
      <c r="F29" s="40">
        <v>25745094</v>
      </c>
      <c r="G29" s="40">
        <v>28018615</v>
      </c>
      <c r="H29" s="40">
        <v>25976912</v>
      </c>
      <c r="I29" s="40">
        <v>3836166</v>
      </c>
      <c r="J29" s="40">
        <v>-1794463</v>
      </c>
      <c r="K29" s="40">
        <v>-1135200</v>
      </c>
      <c r="L29" s="41">
        <v>1.0090043563251314</v>
      </c>
      <c r="M29" s="41">
        <v>0.14900570959267034</v>
      </c>
      <c r="O29" s="15"/>
    </row>
    <row r="30" spans="2:15" ht="23.25" customHeight="1">
      <c r="B30" s="53" t="s">
        <v>48</v>
      </c>
      <c r="C30" s="54">
        <v>16439056</v>
      </c>
      <c r="D30" s="54">
        <v>8901526</v>
      </c>
      <c r="E30" s="54">
        <v>6882481</v>
      </c>
      <c r="F30" s="54">
        <v>12939321</v>
      </c>
      <c r="G30" s="54">
        <v>13833425</v>
      </c>
      <c r="H30" s="54">
        <v>12226181</v>
      </c>
      <c r="I30" s="54">
        <v>1922584</v>
      </c>
      <c r="J30" s="54">
        <v>-315340</v>
      </c>
      <c r="K30" s="54">
        <v>-208138</v>
      </c>
      <c r="L30" s="55">
        <v>0.9448858251526491</v>
      </c>
      <c r="M30" s="55">
        <v>0.14858461274745405</v>
      </c>
      <c r="O30" s="15"/>
    </row>
    <row r="31" spans="1:15" ht="23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20</v>
      </c>
      <c r="O33" s="15">
        <v>1</v>
      </c>
    </row>
    <row r="34" spans="2:15" ht="60.75" customHeight="1">
      <c r="B34" s="13" t="s">
        <v>23</v>
      </c>
      <c r="C34" s="13" t="s">
        <v>25</v>
      </c>
      <c r="D34" s="13" t="s">
        <v>26</v>
      </c>
      <c r="E34" s="13" t="s">
        <v>74</v>
      </c>
      <c r="F34" s="13" t="s">
        <v>28</v>
      </c>
      <c r="G34" s="13" t="s">
        <v>39</v>
      </c>
      <c r="H34" s="13" t="s">
        <v>30</v>
      </c>
      <c r="I34" s="13" t="s">
        <v>34</v>
      </c>
      <c r="J34" s="13" t="s">
        <v>33</v>
      </c>
      <c r="K34" s="13" t="s">
        <v>40</v>
      </c>
      <c r="L34" s="13" t="s">
        <v>31</v>
      </c>
      <c r="M34" s="13" t="s">
        <v>38</v>
      </c>
      <c r="O34" s="15">
        <v>1</v>
      </c>
    </row>
    <row r="35" spans="2:15" ht="51" hidden="1">
      <c r="B35" s="13" t="s">
        <v>23</v>
      </c>
      <c r="C35" s="13" t="s">
        <v>25</v>
      </c>
      <c r="D35" s="13" t="s">
        <v>26</v>
      </c>
      <c r="E35" s="13" t="s">
        <v>27</v>
      </c>
      <c r="F35" s="13" t="s">
        <v>28</v>
      </c>
      <c r="G35" s="13" t="s">
        <v>39</v>
      </c>
      <c r="H35" s="13" t="s">
        <v>30</v>
      </c>
      <c r="I35" s="13" t="s">
        <v>34</v>
      </c>
      <c r="J35" s="13" t="s">
        <v>33</v>
      </c>
      <c r="K35" s="13" t="s">
        <v>40</v>
      </c>
      <c r="L35" s="13" t="s">
        <v>31</v>
      </c>
      <c r="M35" s="13" t="s">
        <v>38</v>
      </c>
      <c r="O35" s="15">
        <v>1</v>
      </c>
    </row>
    <row r="36" spans="2:15" ht="23.25">
      <c r="B36" s="39" t="s">
        <v>53</v>
      </c>
      <c r="C36" s="40">
        <v>19050075</v>
      </c>
      <c r="D36" s="40">
        <v>9146434</v>
      </c>
      <c r="E36" s="40">
        <v>7633794</v>
      </c>
      <c r="F36" s="40">
        <v>53020185</v>
      </c>
      <c r="G36" s="40">
        <v>57816108</v>
      </c>
      <c r="H36" s="40">
        <v>49841948</v>
      </c>
      <c r="I36" s="40">
        <v>7102616</v>
      </c>
      <c r="J36" s="40">
        <v>871544</v>
      </c>
      <c r="K36" s="40">
        <v>809565</v>
      </c>
      <c r="L36" s="41">
        <v>0.940056093731095</v>
      </c>
      <c r="M36" s="41">
        <v>0.13396060387190276</v>
      </c>
      <c r="O36" s="15">
        <v>1</v>
      </c>
    </row>
    <row r="37" spans="2:15" ht="23.25">
      <c r="B37" s="7" t="s">
        <v>54</v>
      </c>
      <c r="C37" s="17">
        <v>16628351</v>
      </c>
      <c r="D37" s="17">
        <v>8030294</v>
      </c>
      <c r="E37" s="17">
        <v>7133807</v>
      </c>
      <c r="F37" s="17">
        <v>55427413</v>
      </c>
      <c r="G37" s="17">
        <v>55427413</v>
      </c>
      <c r="H37" s="17">
        <v>49750188</v>
      </c>
      <c r="I37" s="17">
        <v>6713187</v>
      </c>
      <c r="J37" s="17">
        <v>-1035964</v>
      </c>
      <c r="K37" s="17">
        <v>-514421</v>
      </c>
      <c r="L37" s="8">
        <v>0.8975736969719298</v>
      </c>
      <c r="M37" s="8">
        <v>0.12111672973082832</v>
      </c>
      <c r="O37" s="15">
        <v>1</v>
      </c>
    </row>
    <row r="38" spans="2:15" ht="23.25">
      <c r="B38" s="39" t="s">
        <v>55</v>
      </c>
      <c r="C38" s="40">
        <v>15740992</v>
      </c>
      <c r="D38" s="40">
        <v>7730414</v>
      </c>
      <c r="E38" s="40">
        <v>7056920</v>
      </c>
      <c r="F38" s="40">
        <v>55649482</v>
      </c>
      <c r="G38" s="40">
        <v>55649482</v>
      </c>
      <c r="H38" s="40">
        <v>49164682</v>
      </c>
      <c r="I38" s="40">
        <v>4490186</v>
      </c>
      <c r="J38" s="40">
        <v>1994614</v>
      </c>
      <c r="K38" s="40">
        <v>1292817</v>
      </c>
      <c r="L38" s="41">
        <v>0.8834706134371565</v>
      </c>
      <c r="M38" s="41">
        <v>0.08068693253964161</v>
      </c>
      <c r="O38" s="15">
        <v>1</v>
      </c>
    </row>
    <row r="39" spans="2:15" ht="23.25">
      <c r="B39" s="7" t="s">
        <v>56</v>
      </c>
      <c r="C39" s="17">
        <v>13386647</v>
      </c>
      <c r="D39" s="17">
        <v>6618155</v>
      </c>
      <c r="E39" s="17">
        <v>6216240</v>
      </c>
      <c r="F39" s="17">
        <v>57077427</v>
      </c>
      <c r="G39" s="17">
        <v>57077427</v>
      </c>
      <c r="H39" s="17">
        <v>53564563</v>
      </c>
      <c r="I39" s="17">
        <v>4388079</v>
      </c>
      <c r="J39" s="17">
        <v>-875215</v>
      </c>
      <c r="K39" s="17">
        <v>-413844</v>
      </c>
      <c r="L39" s="8">
        <v>0.9384544086053493</v>
      </c>
      <c r="M39" s="8">
        <v>0.07687941154039757</v>
      </c>
      <c r="O39" s="15">
        <v>1</v>
      </c>
    </row>
    <row r="40" spans="2:15" ht="23.25">
      <c r="B40" s="39" t="s">
        <v>57</v>
      </c>
      <c r="C40" s="40">
        <v>15226503</v>
      </c>
      <c r="D40" s="40">
        <v>6976078</v>
      </c>
      <c r="E40" s="40">
        <v>7529937</v>
      </c>
      <c r="F40" s="40">
        <v>56304902</v>
      </c>
      <c r="G40" s="40">
        <v>56304902</v>
      </c>
      <c r="H40" s="40">
        <v>53178487</v>
      </c>
      <c r="I40" s="40">
        <v>4429833</v>
      </c>
      <c r="J40" s="40">
        <v>-1303418</v>
      </c>
      <c r="K40" s="40">
        <v>-766690</v>
      </c>
      <c r="L40" s="41">
        <v>0.9444734847420567</v>
      </c>
      <c r="M40" s="41">
        <v>0.07867579629212391</v>
      </c>
      <c r="O40" s="15">
        <v>1</v>
      </c>
    </row>
    <row r="41" spans="2:15" ht="23.25">
      <c r="B41" s="7" t="s">
        <v>58</v>
      </c>
      <c r="C41" s="17">
        <v>15691890</v>
      </c>
      <c r="D41" s="17">
        <v>6274729</v>
      </c>
      <c r="E41" s="17">
        <v>6777249</v>
      </c>
      <c r="F41" s="17">
        <v>53586464</v>
      </c>
      <c r="G41" s="17">
        <v>53586464</v>
      </c>
      <c r="H41" s="17">
        <v>49688817</v>
      </c>
      <c r="I41" s="17">
        <v>3485872</v>
      </c>
      <c r="J41" s="17">
        <v>411775</v>
      </c>
      <c r="K41" s="17">
        <v>269749</v>
      </c>
      <c r="L41" s="8">
        <v>0.927264336754894</v>
      </c>
      <c r="M41" s="8">
        <v>0.06505135326712358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>
        <v>1</v>
      </c>
    </row>
    <row r="45" ht="23.25" customHeight="1">
      <c r="O45" s="15">
        <v>1</v>
      </c>
    </row>
    <row r="46" ht="23.25" customHeight="1">
      <c r="O46" s="15">
        <v>1</v>
      </c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A27" sqref="A27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70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21</v>
      </c>
    </row>
    <row r="13" spans="2:13" ht="60.75" customHeight="1">
      <c r="B13" s="16" t="s">
        <v>42</v>
      </c>
      <c r="C13" s="16" t="s">
        <v>25</v>
      </c>
      <c r="D13" s="16" t="s">
        <v>26</v>
      </c>
      <c r="E13" s="16" t="s">
        <v>74</v>
      </c>
      <c r="F13" s="16" t="s">
        <v>28</v>
      </c>
      <c r="G13" s="16" t="s">
        <v>39</v>
      </c>
      <c r="H13" s="16" t="s">
        <v>30</v>
      </c>
      <c r="I13" s="16" t="s">
        <v>34</v>
      </c>
      <c r="J13" s="16" t="s">
        <v>33</v>
      </c>
      <c r="K13" s="16" t="s">
        <v>40</v>
      </c>
      <c r="L13" s="16" t="s">
        <v>31</v>
      </c>
      <c r="M13" s="16" t="s">
        <v>38</v>
      </c>
    </row>
    <row r="14" spans="2:15" ht="60.75" hidden="1">
      <c r="B14" s="16" t="s">
        <v>42</v>
      </c>
      <c r="C14" s="16" t="s">
        <v>25</v>
      </c>
      <c r="D14" s="16" t="s">
        <v>26</v>
      </c>
      <c r="E14" s="16" t="s">
        <v>27</v>
      </c>
      <c r="F14" s="16" t="s">
        <v>28</v>
      </c>
      <c r="G14" s="16" t="s">
        <v>39</v>
      </c>
      <c r="H14" s="16" t="s">
        <v>30</v>
      </c>
      <c r="I14" s="16" t="s">
        <v>34</v>
      </c>
      <c r="J14" s="16" t="s">
        <v>33</v>
      </c>
      <c r="K14" s="16" t="s">
        <v>40</v>
      </c>
      <c r="L14" s="16" t="s">
        <v>31</v>
      </c>
      <c r="M14" s="16" t="s">
        <v>38</v>
      </c>
      <c r="O14" s="14" t="s">
        <v>41</v>
      </c>
    </row>
    <row r="15" spans="2:15" ht="23.25">
      <c r="B15" s="45" t="s">
        <v>85</v>
      </c>
      <c r="C15" s="46">
        <v>153215038</v>
      </c>
      <c r="D15" s="46">
        <v>57118293</v>
      </c>
      <c r="E15" s="46">
        <v>75568898</v>
      </c>
      <c r="F15" s="46">
        <v>516147781</v>
      </c>
      <c r="G15" s="46">
        <v>536050042</v>
      </c>
      <c r="H15" s="46">
        <v>490123649</v>
      </c>
      <c r="I15" s="46">
        <v>60543353</v>
      </c>
      <c r="J15" s="46">
        <v>-14616960</v>
      </c>
      <c r="K15" s="46">
        <v>-13622863</v>
      </c>
      <c r="L15" s="47">
        <v>0.9495800757884106</v>
      </c>
      <c r="M15" s="47">
        <v>0.11729848548937188</v>
      </c>
      <c r="O15" s="15">
        <v>1</v>
      </c>
    </row>
    <row r="16" spans="2:15" ht="23.25">
      <c r="B16" s="53" t="s">
        <v>86</v>
      </c>
      <c r="C16" s="54">
        <v>176456032</v>
      </c>
      <c r="D16" s="54">
        <v>63953641</v>
      </c>
      <c r="E16" s="54">
        <v>88850821</v>
      </c>
      <c r="F16" s="54">
        <v>388282717</v>
      </c>
      <c r="G16" s="54">
        <v>403732067</v>
      </c>
      <c r="H16" s="54">
        <v>367789156</v>
      </c>
      <c r="I16" s="54">
        <v>42091237</v>
      </c>
      <c r="J16" s="54">
        <v>-6148326</v>
      </c>
      <c r="K16" s="54">
        <v>-6766886</v>
      </c>
      <c r="L16" s="55">
        <v>0.9472200020687503</v>
      </c>
      <c r="M16" s="55">
        <v>0.10840358109475164</v>
      </c>
      <c r="O16" s="15">
        <v>1</v>
      </c>
    </row>
    <row r="17" spans="2:15" ht="23.25">
      <c r="B17" s="45" t="s">
        <v>83</v>
      </c>
      <c r="C17" s="46">
        <v>173694597</v>
      </c>
      <c r="D17" s="46">
        <v>62447816</v>
      </c>
      <c r="E17" s="46">
        <v>85754076</v>
      </c>
      <c r="F17" s="46">
        <v>260984755</v>
      </c>
      <c r="G17" s="46">
        <v>271981197</v>
      </c>
      <c r="H17" s="46">
        <v>244057771</v>
      </c>
      <c r="I17" s="46">
        <v>35272997</v>
      </c>
      <c r="J17" s="46">
        <v>-7987001</v>
      </c>
      <c r="K17" s="46">
        <v>-7252370</v>
      </c>
      <c r="L17" s="47">
        <v>0.9351418668113393</v>
      </c>
      <c r="M17" s="47">
        <v>0.1351534766848738</v>
      </c>
      <c r="O17" s="15">
        <v>1</v>
      </c>
    </row>
    <row r="18" spans="2:15" ht="23.25">
      <c r="B18" s="53" t="s">
        <v>82</v>
      </c>
      <c r="C18" s="54">
        <v>158995851</v>
      </c>
      <c r="D18" s="54">
        <v>56450471</v>
      </c>
      <c r="E18" s="54">
        <v>78873079</v>
      </c>
      <c r="F18" s="54">
        <v>124843190</v>
      </c>
      <c r="G18" s="54">
        <v>129028991</v>
      </c>
      <c r="H18" s="54">
        <v>119045246</v>
      </c>
      <c r="I18" s="54">
        <v>19243863</v>
      </c>
      <c r="J18" s="54">
        <v>-9369852</v>
      </c>
      <c r="K18" s="54">
        <v>-8897414</v>
      </c>
      <c r="L18" s="55">
        <v>0.9535581876752749</v>
      </c>
      <c r="M18" s="55">
        <v>0.15414427490998908</v>
      </c>
      <c r="O18" s="15">
        <v>1</v>
      </c>
    </row>
    <row r="19" spans="2:15" ht="23.25">
      <c r="B19" s="45" t="s">
        <v>80</v>
      </c>
      <c r="C19" s="46">
        <v>156787005</v>
      </c>
      <c r="D19" s="46">
        <v>65473373</v>
      </c>
      <c r="E19" s="46">
        <v>79476814</v>
      </c>
      <c r="F19" s="46">
        <v>477473382</v>
      </c>
      <c r="G19" s="46">
        <v>491970798</v>
      </c>
      <c r="H19" s="46">
        <v>454553932</v>
      </c>
      <c r="I19" s="46">
        <v>32027846</v>
      </c>
      <c r="J19" s="46">
        <v>7417553</v>
      </c>
      <c r="K19" s="46">
        <v>7156283</v>
      </c>
      <c r="L19" s="47">
        <v>0.9519984760113811</v>
      </c>
      <c r="M19" s="47">
        <v>0.06707776225314273</v>
      </c>
      <c r="O19" s="15">
        <v>1</v>
      </c>
    </row>
    <row r="20" spans="2:15" ht="23.25">
      <c r="B20" s="53" t="s">
        <v>79</v>
      </c>
      <c r="C20" s="54">
        <v>175778102</v>
      </c>
      <c r="D20" s="54">
        <v>67183490</v>
      </c>
      <c r="E20" s="54">
        <v>92855982</v>
      </c>
      <c r="F20" s="54">
        <v>358171720</v>
      </c>
      <c r="G20" s="54">
        <v>370523294</v>
      </c>
      <c r="H20" s="54">
        <v>344119604</v>
      </c>
      <c r="I20" s="54">
        <v>24957545</v>
      </c>
      <c r="J20" s="54">
        <v>3474678</v>
      </c>
      <c r="K20" s="54">
        <v>3932409</v>
      </c>
      <c r="L20" s="55">
        <v>0.960767097971889</v>
      </c>
      <c r="M20" s="55">
        <v>0.06968038961870021</v>
      </c>
      <c r="O20" s="15">
        <v>1</v>
      </c>
    </row>
    <row r="21" spans="2:15" ht="23.25">
      <c r="B21" s="45" t="s">
        <v>77</v>
      </c>
      <c r="C21" s="46">
        <v>177251810</v>
      </c>
      <c r="D21" s="46">
        <v>65264951</v>
      </c>
      <c r="E21" s="46">
        <v>95721580</v>
      </c>
      <c r="F21" s="46">
        <v>239565928</v>
      </c>
      <c r="G21" s="46">
        <v>247051715</v>
      </c>
      <c r="H21" s="46">
        <v>229907789</v>
      </c>
      <c r="I21" s="46">
        <v>16775454</v>
      </c>
      <c r="J21" s="46">
        <v>2397005</v>
      </c>
      <c r="K21" s="46">
        <v>2717792</v>
      </c>
      <c r="L21" s="47">
        <v>0.959684838822322</v>
      </c>
      <c r="M21" s="47">
        <v>0.07002437341590578</v>
      </c>
      <c r="O21" s="15">
        <v>1</v>
      </c>
    </row>
    <row r="22" spans="2:15" ht="23.25">
      <c r="B22" s="53" t="s">
        <v>76</v>
      </c>
      <c r="C22" s="54">
        <v>175746807</v>
      </c>
      <c r="D22" s="54">
        <v>65469164</v>
      </c>
      <c r="E22" s="54">
        <v>93121559</v>
      </c>
      <c r="F22" s="54">
        <v>117832297</v>
      </c>
      <c r="G22" s="54">
        <v>122698084</v>
      </c>
      <c r="H22" s="54">
        <v>115348321</v>
      </c>
      <c r="I22" s="54">
        <v>7798766</v>
      </c>
      <c r="J22" s="54">
        <v>949531</v>
      </c>
      <c r="K22" s="54">
        <v>1407985</v>
      </c>
      <c r="L22" s="55">
        <v>0.9789193959275868</v>
      </c>
      <c r="M22" s="55">
        <v>0.0661853006226298</v>
      </c>
      <c r="O22" s="15">
        <v>1</v>
      </c>
    </row>
    <row r="23" spans="2:15" ht="23.25">
      <c r="B23" s="45" t="s">
        <v>75</v>
      </c>
      <c r="C23" s="46">
        <v>174721657</v>
      </c>
      <c r="D23" s="46">
        <v>64476343</v>
      </c>
      <c r="E23" s="46">
        <v>90848017</v>
      </c>
      <c r="F23" s="46">
        <v>499888764</v>
      </c>
      <c r="G23" s="46">
        <v>519737063</v>
      </c>
      <c r="H23" s="46">
        <v>469864221</v>
      </c>
      <c r="I23" s="46">
        <v>47347870</v>
      </c>
      <c r="J23" s="46">
        <v>5630063</v>
      </c>
      <c r="K23" s="46">
        <v>5022503</v>
      </c>
      <c r="L23" s="47">
        <v>0.9399375517870212</v>
      </c>
      <c r="M23" s="47">
        <v>0.09471681183856336</v>
      </c>
      <c r="O23" s="15">
        <v>1</v>
      </c>
    </row>
    <row r="24" spans="2:15" ht="23.25">
      <c r="B24" s="53" t="s">
        <v>73</v>
      </c>
      <c r="C24" s="54">
        <v>179791868</v>
      </c>
      <c r="D24" s="54">
        <v>62308265</v>
      </c>
      <c r="E24" s="54">
        <v>94086126</v>
      </c>
      <c r="F24" s="54">
        <v>379542999</v>
      </c>
      <c r="G24" s="54">
        <v>394525511</v>
      </c>
      <c r="H24" s="54">
        <v>357473914</v>
      </c>
      <c r="I24" s="54">
        <v>38833695</v>
      </c>
      <c r="J24" s="54">
        <v>1963810</v>
      </c>
      <c r="K24" s="54">
        <v>2208835</v>
      </c>
      <c r="L24" s="55">
        <v>0.9418535315941897</v>
      </c>
      <c r="M24" s="55">
        <v>0.10231698411594202</v>
      </c>
      <c r="O24" s="15">
        <v>1</v>
      </c>
    </row>
    <row r="25" spans="2:15" ht="23.25">
      <c r="B25" s="45" t="s">
        <v>44</v>
      </c>
      <c r="C25" s="46">
        <v>173090375</v>
      </c>
      <c r="D25" s="46">
        <v>43206476</v>
      </c>
      <c r="E25" s="46">
        <v>100752517</v>
      </c>
      <c r="F25" s="46">
        <v>255034160</v>
      </c>
      <c r="G25" s="46">
        <v>264024211</v>
      </c>
      <c r="H25" s="46">
        <v>243971445</v>
      </c>
      <c r="I25" s="46">
        <v>29793995</v>
      </c>
      <c r="J25" s="46">
        <v>-7045018</v>
      </c>
      <c r="K25" s="46">
        <v>-7321376</v>
      </c>
      <c r="L25" s="47">
        <v>0.9566226147901128</v>
      </c>
      <c r="M25" s="47">
        <v>0.1168235463045421</v>
      </c>
      <c r="O25" s="15">
        <v>1</v>
      </c>
    </row>
    <row r="26" spans="2:15" ht="23.25">
      <c r="B26" s="53" t="s">
        <v>43</v>
      </c>
      <c r="C26" s="54">
        <v>160652479</v>
      </c>
      <c r="D26" s="54">
        <v>34738097</v>
      </c>
      <c r="E26" s="54">
        <v>88606663</v>
      </c>
      <c r="F26" s="54">
        <v>125553079</v>
      </c>
      <c r="G26" s="54">
        <v>129855529</v>
      </c>
      <c r="H26" s="54">
        <v>120159698</v>
      </c>
      <c r="I26" s="54">
        <v>20859720</v>
      </c>
      <c r="J26" s="54">
        <v>-12344173</v>
      </c>
      <c r="K26" s="54">
        <v>-11608360</v>
      </c>
      <c r="L26" s="55">
        <v>0.9570430208246824</v>
      </c>
      <c r="M26" s="55">
        <v>0.16614263995867437</v>
      </c>
      <c r="O26" s="15">
        <v>1</v>
      </c>
    </row>
    <row r="27" spans="2:15" ht="23.25">
      <c r="B27" s="45" t="s">
        <v>45</v>
      </c>
      <c r="C27" s="46">
        <v>154802343</v>
      </c>
      <c r="D27" s="46">
        <v>41280302</v>
      </c>
      <c r="E27" s="46">
        <v>75553391</v>
      </c>
      <c r="F27" s="46">
        <v>492403518</v>
      </c>
      <c r="G27" s="46">
        <v>522881728</v>
      </c>
      <c r="H27" s="46">
        <v>434223610</v>
      </c>
      <c r="I27" s="46">
        <v>55599489</v>
      </c>
      <c r="J27" s="46">
        <v>27925005</v>
      </c>
      <c r="K27" s="46">
        <v>14122024</v>
      </c>
      <c r="L27" s="47">
        <v>0.8818450602540171</v>
      </c>
      <c r="M27" s="47">
        <v>0.11291448368571566</v>
      </c>
      <c r="O27" s="15"/>
    </row>
    <row r="28" spans="2:15" ht="23.25" customHeight="1">
      <c r="B28" s="53" t="s">
        <v>46</v>
      </c>
      <c r="C28" s="54">
        <v>112147730</v>
      </c>
      <c r="D28" s="54">
        <v>32234347</v>
      </c>
      <c r="E28" s="54">
        <v>57027718</v>
      </c>
      <c r="F28" s="54">
        <v>358253408</v>
      </c>
      <c r="G28" s="54">
        <v>382496069</v>
      </c>
      <c r="H28" s="54">
        <v>313908329</v>
      </c>
      <c r="I28" s="54">
        <v>57465227</v>
      </c>
      <c r="J28" s="54">
        <v>11122513</v>
      </c>
      <c r="K28" s="54">
        <v>6757080</v>
      </c>
      <c r="L28" s="55">
        <v>0.8762186820564732</v>
      </c>
      <c r="M28" s="55">
        <v>0.16040385301791743</v>
      </c>
      <c r="O28" s="15">
        <v>1</v>
      </c>
    </row>
    <row r="29" spans="2:15" ht="23.25" customHeight="1">
      <c r="B29" s="45" t="s">
        <v>47</v>
      </c>
      <c r="C29" s="46">
        <v>143029301</v>
      </c>
      <c r="D29" s="46">
        <v>56145259</v>
      </c>
      <c r="E29" s="46">
        <v>49953331</v>
      </c>
      <c r="F29" s="46">
        <v>237806228</v>
      </c>
      <c r="G29" s="46">
        <v>251348260</v>
      </c>
      <c r="H29" s="46">
        <v>203937449</v>
      </c>
      <c r="I29" s="46">
        <v>37699071</v>
      </c>
      <c r="J29" s="46">
        <v>9711740</v>
      </c>
      <c r="K29" s="46">
        <v>12508927</v>
      </c>
      <c r="L29" s="47">
        <v>0.857578250641947</v>
      </c>
      <c r="M29" s="47">
        <v>0.15852852684749702</v>
      </c>
      <c r="O29" s="15"/>
    </row>
    <row r="30" spans="2:15" ht="23.25" customHeight="1">
      <c r="B30" s="53" t="s">
        <v>48</v>
      </c>
      <c r="C30" s="54">
        <v>127486432</v>
      </c>
      <c r="D30" s="54">
        <v>51943993</v>
      </c>
      <c r="E30" s="54">
        <v>52857034</v>
      </c>
      <c r="F30" s="54">
        <v>115676137</v>
      </c>
      <c r="G30" s="54">
        <v>116689069</v>
      </c>
      <c r="H30" s="54">
        <v>86532234</v>
      </c>
      <c r="I30" s="54">
        <v>15796505</v>
      </c>
      <c r="J30" s="54">
        <v>14360330</v>
      </c>
      <c r="K30" s="54">
        <v>8395162</v>
      </c>
      <c r="L30" s="55">
        <v>0.748056048932547</v>
      </c>
      <c r="M30" s="55">
        <v>0.13655802665678574</v>
      </c>
      <c r="O30" s="15"/>
    </row>
    <row r="31" ht="23.25" customHeight="1"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21</v>
      </c>
      <c r="O33" s="15">
        <v>1</v>
      </c>
    </row>
    <row r="34" spans="2:15" ht="60.75" customHeight="1">
      <c r="B34" s="16" t="s">
        <v>23</v>
      </c>
      <c r="C34" s="16" t="s">
        <v>25</v>
      </c>
      <c r="D34" s="16" t="s">
        <v>26</v>
      </c>
      <c r="E34" s="16" t="s">
        <v>74</v>
      </c>
      <c r="F34" s="16" t="s">
        <v>28</v>
      </c>
      <c r="G34" s="16" t="s">
        <v>39</v>
      </c>
      <c r="H34" s="16" t="s">
        <v>30</v>
      </c>
      <c r="I34" s="16" t="s">
        <v>34</v>
      </c>
      <c r="J34" s="16" t="s">
        <v>33</v>
      </c>
      <c r="K34" s="16" t="s">
        <v>40</v>
      </c>
      <c r="L34" s="16" t="s">
        <v>31</v>
      </c>
      <c r="M34" s="16" t="s">
        <v>38</v>
      </c>
      <c r="O34" s="15">
        <v>1</v>
      </c>
    </row>
    <row r="35" spans="2:15" ht="51" hidden="1">
      <c r="B35" s="16" t="s">
        <v>23</v>
      </c>
      <c r="C35" s="16" t="s">
        <v>25</v>
      </c>
      <c r="D35" s="16" t="s">
        <v>26</v>
      </c>
      <c r="E35" s="16" t="s">
        <v>27</v>
      </c>
      <c r="F35" s="16" t="s">
        <v>28</v>
      </c>
      <c r="G35" s="16" t="s">
        <v>39</v>
      </c>
      <c r="H35" s="16" t="s">
        <v>30</v>
      </c>
      <c r="I35" s="16" t="s">
        <v>34</v>
      </c>
      <c r="J35" s="16" t="s">
        <v>33</v>
      </c>
      <c r="K35" s="16" t="s">
        <v>40</v>
      </c>
      <c r="L35" s="16" t="s">
        <v>31</v>
      </c>
      <c r="M35" s="16" t="s">
        <v>38</v>
      </c>
      <c r="O35" s="15">
        <v>1</v>
      </c>
    </row>
    <row r="36" spans="2:15" ht="23.25">
      <c r="B36" s="45" t="s">
        <v>53</v>
      </c>
      <c r="C36" s="46">
        <v>118838842</v>
      </c>
      <c r="D36" s="46">
        <v>43454699</v>
      </c>
      <c r="E36" s="46">
        <v>48787400</v>
      </c>
      <c r="F36" s="46">
        <v>400457788</v>
      </c>
      <c r="G36" s="46">
        <v>407528920</v>
      </c>
      <c r="H36" s="46">
        <v>319661569</v>
      </c>
      <c r="I36" s="46">
        <v>51842009</v>
      </c>
      <c r="J36" s="46">
        <v>36025342</v>
      </c>
      <c r="K36" s="46">
        <v>22199795</v>
      </c>
      <c r="L36" s="47">
        <v>0.7982403603547847</v>
      </c>
      <c r="M36" s="47">
        <v>0.1294568630039978</v>
      </c>
      <c r="O36" s="15">
        <v>1</v>
      </c>
    </row>
    <row r="37" spans="2:15" ht="23.25">
      <c r="B37" s="7" t="s">
        <v>54</v>
      </c>
      <c r="C37" s="17">
        <v>62512342</v>
      </c>
      <c r="D37" s="17">
        <v>20873465</v>
      </c>
      <c r="E37" s="17">
        <v>31240100</v>
      </c>
      <c r="F37" s="17">
        <v>244500594</v>
      </c>
      <c r="G37" s="17">
        <v>244500594</v>
      </c>
      <c r="H37" s="17">
        <v>210438088</v>
      </c>
      <c r="I37" s="17">
        <v>27954740</v>
      </c>
      <c r="J37" s="17">
        <v>6107767</v>
      </c>
      <c r="K37" s="17">
        <v>3932181</v>
      </c>
      <c r="L37" s="8">
        <v>0.8606853854923558</v>
      </c>
      <c r="M37" s="8">
        <v>0.11433403715984428</v>
      </c>
      <c r="O37" s="15">
        <v>1</v>
      </c>
    </row>
    <row r="38" spans="2:15" ht="23.25">
      <c r="B38" s="45" t="s">
        <v>55</v>
      </c>
      <c r="C38" s="46">
        <v>40416633</v>
      </c>
      <c r="D38" s="46">
        <v>4413451</v>
      </c>
      <c r="E38" s="46">
        <v>28960548</v>
      </c>
      <c r="F38" s="46">
        <v>134049267</v>
      </c>
      <c r="G38" s="46">
        <v>134049267</v>
      </c>
      <c r="H38" s="46">
        <v>116954105</v>
      </c>
      <c r="I38" s="46">
        <v>15270892</v>
      </c>
      <c r="J38" s="46">
        <v>1824270</v>
      </c>
      <c r="K38" s="46">
        <v>-385593</v>
      </c>
      <c r="L38" s="47">
        <v>0.8724710520050811</v>
      </c>
      <c r="M38" s="47">
        <v>0.1139199962950935</v>
      </c>
      <c r="O38" s="15">
        <v>1</v>
      </c>
    </row>
    <row r="39" spans="2:15" ht="23.25">
      <c r="B39" s="7" t="s">
        <v>56</v>
      </c>
      <c r="C39" s="17">
        <v>11617657</v>
      </c>
      <c r="D39" s="17">
        <v>5372713</v>
      </c>
      <c r="E39" s="17">
        <v>5046200</v>
      </c>
      <c r="F39" s="17">
        <v>43401335</v>
      </c>
      <c r="G39" s="17">
        <v>43401335</v>
      </c>
      <c r="H39" s="17">
        <v>36887475</v>
      </c>
      <c r="I39" s="17">
        <v>7007558</v>
      </c>
      <c r="J39" s="17">
        <v>-493698</v>
      </c>
      <c r="K39" s="17">
        <v>-226696</v>
      </c>
      <c r="L39" s="8">
        <v>0.8499156765569539</v>
      </c>
      <c r="M39" s="8">
        <v>0.1614595034922313</v>
      </c>
      <c r="O39" s="15">
        <v>1</v>
      </c>
    </row>
    <row r="40" spans="2:15" ht="23.25">
      <c r="B40" s="45" t="s">
        <v>57</v>
      </c>
      <c r="C40" s="46">
        <v>11846788</v>
      </c>
      <c r="D40" s="46">
        <v>5640181</v>
      </c>
      <c r="E40" s="46">
        <v>3839200</v>
      </c>
      <c r="F40" s="46">
        <v>42495274</v>
      </c>
      <c r="G40" s="46">
        <v>42495274</v>
      </c>
      <c r="H40" s="46">
        <v>35203987</v>
      </c>
      <c r="I40" s="46">
        <v>7131003</v>
      </c>
      <c r="J40" s="46">
        <v>160284</v>
      </c>
      <c r="K40" s="46">
        <v>-121763</v>
      </c>
      <c r="L40" s="47">
        <v>0.82842122632272</v>
      </c>
      <c r="M40" s="47">
        <v>0.16780696601697404</v>
      </c>
      <c r="O40" s="15">
        <v>1</v>
      </c>
    </row>
    <row r="41" spans="2:15" ht="23.25">
      <c r="B41" s="7" t="s">
        <v>58</v>
      </c>
      <c r="C41" s="17">
        <v>11417576</v>
      </c>
      <c r="D41" s="17">
        <v>5877395</v>
      </c>
      <c r="E41" s="17">
        <v>3536500</v>
      </c>
      <c r="F41" s="17">
        <v>36770901</v>
      </c>
      <c r="G41" s="17">
        <v>36770901</v>
      </c>
      <c r="H41" s="17">
        <v>29009342</v>
      </c>
      <c r="I41" s="17">
        <v>6584257</v>
      </c>
      <c r="J41" s="17">
        <v>1177302</v>
      </c>
      <c r="K41" s="17">
        <v>1225899</v>
      </c>
      <c r="L41" s="8">
        <v>0.7889211635037172</v>
      </c>
      <c r="M41" s="8">
        <v>0.1790616172282534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>
        <v>1</v>
      </c>
    </row>
    <row r="45" ht="23.25" customHeight="1">
      <c r="O45" s="15">
        <v>1</v>
      </c>
    </row>
    <row r="46" ht="23.25" customHeight="1">
      <c r="O46" s="15">
        <v>1</v>
      </c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>
      <c r="A1" s="50"/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72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60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36</v>
      </c>
    </row>
    <row r="13" spans="2:13" ht="60.75" customHeight="1">
      <c r="B13" s="23" t="s">
        <v>42</v>
      </c>
      <c r="C13" s="23" t="s">
        <v>25</v>
      </c>
      <c r="D13" s="23" t="s">
        <v>26</v>
      </c>
      <c r="E13" s="23" t="s">
        <v>74</v>
      </c>
      <c r="F13" s="23" t="s">
        <v>28</v>
      </c>
      <c r="G13" s="23" t="s">
        <v>39</v>
      </c>
      <c r="H13" s="23" t="s">
        <v>30</v>
      </c>
      <c r="I13" s="23" t="s">
        <v>34</v>
      </c>
      <c r="J13" s="23" t="s">
        <v>33</v>
      </c>
      <c r="K13" s="23" t="s">
        <v>40</v>
      </c>
      <c r="L13" s="23" t="s">
        <v>31</v>
      </c>
      <c r="M13" s="23" t="s">
        <v>38</v>
      </c>
    </row>
    <row r="14" spans="2:15" ht="60.75" hidden="1">
      <c r="B14" s="23" t="s">
        <v>42</v>
      </c>
      <c r="C14" s="23" t="s">
        <v>25</v>
      </c>
      <c r="D14" s="23" t="s">
        <v>26</v>
      </c>
      <c r="E14" s="23" t="s">
        <v>27</v>
      </c>
      <c r="F14" s="23" t="s">
        <v>28</v>
      </c>
      <c r="G14" s="23" t="s">
        <v>39</v>
      </c>
      <c r="H14" s="23" t="s">
        <v>30</v>
      </c>
      <c r="I14" s="23" t="s">
        <v>34</v>
      </c>
      <c r="J14" s="23" t="s">
        <v>33</v>
      </c>
      <c r="K14" s="23" t="s">
        <v>40</v>
      </c>
      <c r="L14" s="23" t="s">
        <v>31</v>
      </c>
      <c r="M14" s="23" t="s">
        <v>38</v>
      </c>
      <c r="O14" s="14" t="s">
        <v>41</v>
      </c>
    </row>
    <row r="15" spans="2:15" ht="23.25">
      <c r="B15" s="42" t="s">
        <v>75</v>
      </c>
      <c r="C15" s="43">
        <v>8726611</v>
      </c>
      <c r="D15" s="43">
        <v>2873168</v>
      </c>
      <c r="E15" s="43">
        <v>1377801</v>
      </c>
      <c r="F15" s="43">
        <v>4721047</v>
      </c>
      <c r="G15" s="43">
        <v>4721047</v>
      </c>
      <c r="H15" s="43">
        <v>6469435</v>
      </c>
      <c r="I15" s="43">
        <v>2973986</v>
      </c>
      <c r="J15" s="43">
        <v>-4755807</v>
      </c>
      <c r="K15" s="43">
        <v>-4746487</v>
      </c>
      <c r="L15" s="44">
        <v>1.3703390370822404</v>
      </c>
      <c r="M15" s="44">
        <v>0.6299420446354379</v>
      </c>
      <c r="O15" s="15">
        <v>1</v>
      </c>
    </row>
    <row r="16" spans="2:15" ht="23.25">
      <c r="B16" s="60" t="s">
        <v>73</v>
      </c>
      <c r="C16" s="61">
        <v>5967998</v>
      </c>
      <c r="D16" s="61">
        <v>3433264</v>
      </c>
      <c r="E16" s="61">
        <v>920829</v>
      </c>
      <c r="F16" s="61">
        <v>5741648</v>
      </c>
      <c r="G16" s="61">
        <v>5741648</v>
      </c>
      <c r="H16" s="61">
        <v>4516077</v>
      </c>
      <c r="I16" s="61">
        <v>2301514</v>
      </c>
      <c r="J16" s="61">
        <v>1100907</v>
      </c>
      <c r="K16" s="61">
        <v>1094294</v>
      </c>
      <c r="L16" s="62">
        <v>0.7865471725191095</v>
      </c>
      <c r="M16" s="62">
        <v>0.4008455412104678</v>
      </c>
      <c r="O16" s="15">
        <v>1</v>
      </c>
    </row>
    <row r="17" spans="2:15" ht="23.25">
      <c r="B17" s="42" t="s">
        <v>44</v>
      </c>
      <c r="C17" s="43">
        <v>5583760</v>
      </c>
      <c r="D17" s="43">
        <v>3003077</v>
      </c>
      <c r="E17" s="43">
        <v>1690287</v>
      </c>
      <c r="F17" s="43">
        <v>3573708</v>
      </c>
      <c r="G17" s="43">
        <v>3573708</v>
      </c>
      <c r="H17" s="43">
        <v>2633883</v>
      </c>
      <c r="I17" s="43">
        <v>1541944</v>
      </c>
      <c r="J17" s="43">
        <v>-646723</v>
      </c>
      <c r="K17" s="43">
        <v>-642587</v>
      </c>
      <c r="L17" s="44">
        <v>0.7370168463679742</v>
      </c>
      <c r="M17" s="44">
        <v>0.431468939264204</v>
      </c>
      <c r="O17" s="15">
        <v>1</v>
      </c>
    </row>
    <row r="18" spans="2:15" ht="23.25">
      <c r="B18" s="60" t="s">
        <v>43</v>
      </c>
      <c r="C18" s="61">
        <v>5105975</v>
      </c>
      <c r="D18" s="61">
        <v>3205467</v>
      </c>
      <c r="E18" s="61">
        <v>1243615</v>
      </c>
      <c r="F18" s="61">
        <v>1647786</v>
      </c>
      <c r="G18" s="61">
        <v>1647786</v>
      </c>
      <c r="H18" s="61">
        <v>1362050</v>
      </c>
      <c r="I18" s="61">
        <v>796844</v>
      </c>
      <c r="J18" s="61">
        <v>-533531</v>
      </c>
      <c r="K18" s="61">
        <v>-531648</v>
      </c>
      <c r="L18" s="62">
        <v>0.8265939873260242</v>
      </c>
      <c r="M18" s="62">
        <v>0.4835846402384776</v>
      </c>
      <c r="O18" s="15">
        <v>1</v>
      </c>
    </row>
    <row r="19" spans="2:15" ht="23.25">
      <c r="B19" s="42" t="s">
        <v>45</v>
      </c>
      <c r="C19" s="43">
        <v>4380944</v>
      </c>
      <c r="D19" s="43">
        <v>3405851</v>
      </c>
      <c r="E19" s="43">
        <v>193777</v>
      </c>
      <c r="F19" s="43">
        <v>374859</v>
      </c>
      <c r="G19" s="43">
        <v>374859</v>
      </c>
      <c r="H19" s="43">
        <v>268086</v>
      </c>
      <c r="I19" s="43">
        <v>3967313</v>
      </c>
      <c r="J19" s="43">
        <v>-3903788</v>
      </c>
      <c r="K19" s="43">
        <v>-3899934</v>
      </c>
      <c r="L19" s="44">
        <v>0.7151649020031532</v>
      </c>
      <c r="M19" s="52">
        <v>10.583480722084838</v>
      </c>
      <c r="O19" s="15">
        <v>1</v>
      </c>
    </row>
    <row r="20" spans="2:15" ht="23.25">
      <c r="B20" s="60" t="s">
        <v>46</v>
      </c>
      <c r="C20" s="61">
        <v>5225540</v>
      </c>
      <c r="D20" s="61">
        <v>3940159</v>
      </c>
      <c r="E20" s="61">
        <v>128108</v>
      </c>
      <c r="F20" s="61">
        <v>200249</v>
      </c>
      <c r="G20" s="61">
        <v>200249</v>
      </c>
      <c r="H20" s="61">
        <v>175141</v>
      </c>
      <c r="I20" s="61">
        <v>2632801</v>
      </c>
      <c r="J20" s="61">
        <v>-2612776</v>
      </c>
      <c r="K20" s="61">
        <v>-2610059</v>
      </c>
      <c r="L20" s="62">
        <v>0.874616102951825</v>
      </c>
      <c r="M20" s="63">
        <v>13.14763619293979</v>
      </c>
      <c r="O20" s="15">
        <v>1</v>
      </c>
    </row>
    <row r="21" spans="2:15" ht="23.25">
      <c r="B21" s="42" t="s">
        <v>47</v>
      </c>
      <c r="C21" s="43">
        <v>4491006</v>
      </c>
      <c r="D21" s="43">
        <v>4285152</v>
      </c>
      <c r="E21" s="43">
        <v>43436</v>
      </c>
      <c r="F21" s="43">
        <v>67228</v>
      </c>
      <c r="G21" s="43">
        <v>67228</v>
      </c>
      <c r="H21" s="43">
        <v>58209</v>
      </c>
      <c r="I21" s="43">
        <v>1582830</v>
      </c>
      <c r="J21" s="43">
        <v>-1576107</v>
      </c>
      <c r="K21" s="43">
        <v>-1574411</v>
      </c>
      <c r="L21" s="44">
        <v>0.8658445885642887</v>
      </c>
      <c r="M21" s="52">
        <v>23.544207770571784</v>
      </c>
      <c r="O21" s="15">
        <v>1</v>
      </c>
    </row>
    <row r="22" spans="2:15" ht="23.25">
      <c r="B22" s="60" t="s">
        <v>48</v>
      </c>
      <c r="C22" s="61">
        <v>4288460</v>
      </c>
      <c r="D22" s="61">
        <v>3286171</v>
      </c>
      <c r="E22" s="61">
        <v>0</v>
      </c>
      <c r="F22" s="61">
        <v>0</v>
      </c>
      <c r="G22" s="61">
        <v>0</v>
      </c>
      <c r="H22" s="61">
        <v>0</v>
      </c>
      <c r="I22" s="61">
        <v>547258</v>
      </c>
      <c r="J22" s="61">
        <v>-547258</v>
      </c>
      <c r="K22" s="61">
        <v>-546554</v>
      </c>
      <c r="L22" s="63" t="e">
        <v>#DIV/0!</v>
      </c>
      <c r="M22" s="63" t="e">
        <v>#DIV/0!</v>
      </c>
      <c r="O22" s="15"/>
    </row>
    <row r="23" ht="23.25">
      <c r="O23" s="15"/>
    </row>
    <row r="24" spans="2:15" ht="24" customHeight="1">
      <c r="B24" s="83" t="s">
        <v>59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O24" s="15"/>
    </row>
    <row r="25" spans="2:3" ht="12.75" hidden="1">
      <c r="B25" s="9" t="s">
        <v>0</v>
      </c>
      <c r="C25" s="10" t="s">
        <v>36</v>
      </c>
    </row>
    <row r="26" spans="2:13" ht="60.75" customHeight="1">
      <c r="B26" s="23" t="s">
        <v>23</v>
      </c>
      <c r="C26" s="23" t="s">
        <v>25</v>
      </c>
      <c r="D26" s="23" t="s">
        <v>26</v>
      </c>
      <c r="E26" s="23" t="s">
        <v>74</v>
      </c>
      <c r="F26" s="23" t="s">
        <v>28</v>
      </c>
      <c r="G26" s="23" t="s">
        <v>39</v>
      </c>
      <c r="H26" s="23" t="s">
        <v>30</v>
      </c>
      <c r="I26" s="23" t="s">
        <v>34</v>
      </c>
      <c r="J26" s="23" t="s">
        <v>33</v>
      </c>
      <c r="K26" s="23" t="s">
        <v>40</v>
      </c>
      <c r="L26" s="23" t="s">
        <v>31</v>
      </c>
      <c r="M26" s="23" t="s">
        <v>38</v>
      </c>
    </row>
    <row r="27" spans="2:15" ht="60.75" hidden="1">
      <c r="B27" s="23" t="s">
        <v>23</v>
      </c>
      <c r="C27" s="23" t="s">
        <v>25</v>
      </c>
      <c r="D27" s="23" t="s">
        <v>26</v>
      </c>
      <c r="E27" s="23" t="s">
        <v>27</v>
      </c>
      <c r="F27" s="23" t="s">
        <v>28</v>
      </c>
      <c r="G27" s="23" t="s">
        <v>39</v>
      </c>
      <c r="H27" s="23" t="s">
        <v>30</v>
      </c>
      <c r="I27" s="23" t="s">
        <v>34</v>
      </c>
      <c r="J27" s="23" t="s">
        <v>33</v>
      </c>
      <c r="K27" s="23" t="s">
        <v>40</v>
      </c>
      <c r="L27" s="23" t="s">
        <v>31</v>
      </c>
      <c r="M27" s="23" t="s">
        <v>38</v>
      </c>
      <c r="O27" s="14" t="s">
        <v>41</v>
      </c>
    </row>
    <row r="28" spans="2:15" ht="23.25">
      <c r="B28" s="42" t="s">
        <v>53</v>
      </c>
      <c r="C28" s="43">
        <v>3199699</v>
      </c>
      <c r="D28" s="43">
        <v>2654950</v>
      </c>
      <c r="E28" s="43">
        <v>0</v>
      </c>
      <c r="F28" s="43">
        <v>0</v>
      </c>
      <c r="G28" s="43">
        <v>0</v>
      </c>
      <c r="H28" s="43">
        <v>0</v>
      </c>
      <c r="I28" s="43">
        <v>746947</v>
      </c>
      <c r="J28" s="43">
        <v>-746947</v>
      </c>
      <c r="K28" s="43">
        <v>-745680</v>
      </c>
      <c r="L28" s="52" t="e">
        <v>#DIV/0!</v>
      </c>
      <c r="M28" s="52" t="e">
        <v>#DIV/0!</v>
      </c>
      <c r="O28" s="15">
        <v>1</v>
      </c>
    </row>
    <row r="29" ht="23.25">
      <c r="O29" s="15"/>
    </row>
    <row r="30" ht="23.25">
      <c r="O30" s="15"/>
    </row>
    <row r="31" ht="23.25">
      <c r="O31" s="15"/>
    </row>
    <row r="32" ht="23.25">
      <c r="O32" s="15"/>
    </row>
    <row r="33" ht="23.25">
      <c r="O33" s="15"/>
    </row>
    <row r="34" ht="23.25">
      <c r="O34" s="15"/>
    </row>
  </sheetData>
  <sheetProtection sheet="1" objects="1" scenarios="1"/>
  <mergeCells count="3">
    <mergeCell ref="B9:M10"/>
    <mergeCell ref="B24:M24"/>
    <mergeCell ref="B11:M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">
      <pane ySplit="1" topLeftCell="A2" activePane="bottomLeft" state="frozen"/>
      <selection pane="topLeft" activeCell="A11" sqref="A11"/>
      <selection pane="bottomLeft" activeCell="A2" sqref="A2"/>
    </sheetView>
  </sheetViews>
  <sheetFormatPr defaultColWidth="9.140625" defaultRowHeight="12.75"/>
  <cols>
    <col min="1" max="1" width="23.421875" style="1" bestFit="1" customWidth="1"/>
    <col min="2" max="2" width="10.00390625" style="1" customWidth="1"/>
    <col min="3" max="3" width="7.28125" style="1" customWidth="1"/>
    <col min="4" max="4" width="10.28125" style="1" customWidth="1"/>
    <col min="5" max="6" width="16.28125" style="1" customWidth="1"/>
    <col min="7" max="7" width="23.140625" style="1" customWidth="1"/>
    <col min="8" max="8" width="18.421875" style="1" customWidth="1"/>
    <col min="9" max="9" width="17.140625" style="1" customWidth="1"/>
    <col min="10" max="10" width="22.140625" style="1" customWidth="1"/>
    <col min="11" max="11" width="39.28125" style="1" customWidth="1"/>
    <col min="12" max="12" width="29.00390625" style="1" customWidth="1"/>
    <col min="13" max="13" width="16.28125" style="1" customWidth="1"/>
    <col min="14" max="14" width="20.140625" style="1" customWidth="1"/>
    <col min="15" max="15" width="29.7109375" style="1" customWidth="1"/>
    <col min="16" max="16384" width="9.140625" style="1" customWidth="1"/>
  </cols>
  <sheetData>
    <row r="1" spans="1:15" ht="45.75" customHeight="1">
      <c r="A1" s="5" t="s">
        <v>0</v>
      </c>
      <c r="B1" s="5" t="s">
        <v>22</v>
      </c>
      <c r="C1" s="5" t="s">
        <v>23</v>
      </c>
      <c r="D1" s="5" t="s">
        <v>42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24</v>
      </c>
    </row>
    <row r="2" spans="1:15" ht="15.75" customHeight="1">
      <c r="A2" s="1" t="s">
        <v>18</v>
      </c>
      <c r="B2" s="3"/>
      <c r="C2" s="3">
        <v>2009</v>
      </c>
      <c r="D2" s="3" t="str">
        <f>CONCATENATE(Data!$C2,Data!$B2)</f>
        <v>2009</v>
      </c>
      <c r="E2" s="57">
        <v>13776104</v>
      </c>
      <c r="F2" s="57">
        <v>5591876</v>
      </c>
      <c r="G2" s="57">
        <v>4583831</v>
      </c>
      <c r="H2" s="57">
        <v>44982875</v>
      </c>
      <c r="I2" s="57">
        <v>44982875</v>
      </c>
      <c r="J2" s="57">
        <v>37929279</v>
      </c>
      <c r="K2" s="57">
        <v>7142486</v>
      </c>
      <c r="L2" s="56">
        <v>-88890</v>
      </c>
      <c r="M2" s="57">
        <v>71177</v>
      </c>
      <c r="N2" s="2">
        <f aca="true" t="shared" si="0" ref="N2:N65">_xlfn.IFERROR(SUM(J2/H2),"N/A")</f>
        <v>0.8431937487321564</v>
      </c>
      <c r="O2" s="4">
        <f aca="true" t="shared" si="1" ref="O2:O65">_xlfn.IFERROR(SUM(K2/H2),"N/A")</f>
        <v>0.15878233661143268</v>
      </c>
    </row>
    <row r="3" spans="1:15" ht="15.75" customHeight="1">
      <c r="A3" s="1" t="s">
        <v>11</v>
      </c>
      <c r="B3" s="3"/>
      <c r="C3" s="3">
        <v>2009</v>
      </c>
      <c r="D3" s="3" t="str">
        <f>CONCATENATE(Data!$C3,Data!$B3)</f>
        <v>2009</v>
      </c>
      <c r="E3" s="57">
        <v>120647157</v>
      </c>
      <c r="F3" s="57">
        <v>73677286</v>
      </c>
      <c r="G3" s="57">
        <v>32044694</v>
      </c>
      <c r="H3" s="57">
        <v>434200265</v>
      </c>
      <c r="I3" s="57">
        <v>434200265</v>
      </c>
      <c r="J3" s="57">
        <v>388310325</v>
      </c>
      <c r="K3" s="57">
        <v>51898143</v>
      </c>
      <c r="L3" s="56">
        <v>-6536533</v>
      </c>
      <c r="M3" s="57">
        <v>-3231055</v>
      </c>
      <c r="N3" s="2">
        <f t="shared" si="0"/>
        <v>0.8943115799342038</v>
      </c>
      <c r="O3" s="4">
        <f t="shared" si="1"/>
        <v>0.11952582064868154</v>
      </c>
    </row>
    <row r="4" spans="1:15" ht="15.75" customHeight="1">
      <c r="A4" s="1" t="s">
        <v>12</v>
      </c>
      <c r="B4" s="3"/>
      <c r="C4" s="3">
        <v>2009</v>
      </c>
      <c r="D4" s="3" t="str">
        <f>CONCATENATE(Data!$C4,Data!$B4)</f>
        <v>2009</v>
      </c>
      <c r="E4" s="57">
        <v>941702063</v>
      </c>
      <c r="F4" s="57">
        <v>494918142</v>
      </c>
      <c r="G4" s="57">
        <v>35435931</v>
      </c>
      <c r="H4" s="57">
        <v>2379592628</v>
      </c>
      <c r="I4" s="57">
        <v>2430952550</v>
      </c>
      <c r="J4" s="57">
        <v>2286443404</v>
      </c>
      <c r="K4" s="57">
        <v>131093228</v>
      </c>
      <c r="L4" s="56">
        <v>13415918</v>
      </c>
      <c r="M4" s="57">
        <v>36291771</v>
      </c>
      <c r="N4" s="2">
        <f t="shared" si="0"/>
        <v>0.960854970340747</v>
      </c>
      <c r="O4" s="4">
        <f t="shared" si="1"/>
        <v>0.05509061780468753</v>
      </c>
    </row>
    <row r="5" spans="1:15" ht="15.75" customHeight="1">
      <c r="A5" s="1" t="s">
        <v>13</v>
      </c>
      <c r="B5" s="3"/>
      <c r="C5" s="3">
        <v>2009</v>
      </c>
      <c r="D5" s="3" t="str">
        <f>CONCATENATE(Data!$C5,Data!$B5)</f>
        <v>2009</v>
      </c>
      <c r="E5" s="57">
        <v>97417313</v>
      </c>
      <c r="F5" s="57">
        <v>58463824</v>
      </c>
      <c r="G5" s="57">
        <v>22073227</v>
      </c>
      <c r="H5" s="57">
        <v>217901848</v>
      </c>
      <c r="I5" s="57">
        <v>217901848</v>
      </c>
      <c r="J5" s="57">
        <v>179784692</v>
      </c>
      <c r="K5" s="57">
        <v>43605054</v>
      </c>
      <c r="L5" s="56">
        <v>-5386912</v>
      </c>
      <c r="M5" s="57">
        <v>766750</v>
      </c>
      <c r="N5" s="2">
        <f t="shared" si="0"/>
        <v>0.8250719011800212</v>
      </c>
      <c r="O5" s="4">
        <f t="shared" si="1"/>
        <v>0.2001132821966705</v>
      </c>
    </row>
    <row r="6" spans="1:15" ht="15.75" customHeight="1">
      <c r="A6" s="1" t="s">
        <v>14</v>
      </c>
      <c r="B6" s="3"/>
      <c r="C6" s="3">
        <v>2009</v>
      </c>
      <c r="D6" s="3" t="str">
        <f>CONCATENATE(Data!$C6,Data!$B6)</f>
        <v>2009</v>
      </c>
      <c r="E6" s="57">
        <v>231701035</v>
      </c>
      <c r="F6" s="57">
        <v>71413177</v>
      </c>
      <c r="G6" s="57">
        <v>22260000</v>
      </c>
      <c r="H6" s="57">
        <v>216864121</v>
      </c>
      <c r="I6" s="57">
        <v>216864121</v>
      </c>
      <c r="J6" s="57">
        <v>219027326</v>
      </c>
      <c r="K6" s="57">
        <v>18059919</v>
      </c>
      <c r="L6" s="56">
        <v>-20223124</v>
      </c>
      <c r="M6" s="57">
        <v>-9979067</v>
      </c>
      <c r="N6" s="2">
        <f t="shared" si="0"/>
        <v>1.0099749326445753</v>
      </c>
      <c r="O6" s="4">
        <f t="shared" si="1"/>
        <v>0.08327757914367033</v>
      </c>
    </row>
    <row r="7" spans="1:15" ht="15.75" customHeight="1">
      <c r="A7" s="1" t="s">
        <v>15</v>
      </c>
      <c r="B7" s="3"/>
      <c r="C7" s="3">
        <v>2009</v>
      </c>
      <c r="D7" s="3" t="str">
        <f>CONCATENATE(Data!$C7,Data!$B7)</f>
        <v>2009</v>
      </c>
      <c r="E7" s="57">
        <v>173618057</v>
      </c>
      <c r="F7" s="57">
        <v>107075852</v>
      </c>
      <c r="G7" s="57">
        <v>45612180</v>
      </c>
      <c r="H7" s="57">
        <v>520645087</v>
      </c>
      <c r="I7" s="57">
        <v>520645087</v>
      </c>
      <c r="J7" s="57">
        <v>439202187</v>
      </c>
      <c r="K7" s="57">
        <v>76898205</v>
      </c>
      <c r="L7" s="56">
        <v>4544695</v>
      </c>
      <c r="M7" s="57">
        <v>4290283</v>
      </c>
      <c r="N7" s="2">
        <f t="shared" si="0"/>
        <v>0.8435730941603987</v>
      </c>
      <c r="O7" s="4">
        <f t="shared" si="1"/>
        <v>0.14769793650237595</v>
      </c>
    </row>
    <row r="8" spans="1:15" ht="15.75" customHeight="1">
      <c r="A8" s="1" t="s">
        <v>16</v>
      </c>
      <c r="B8" s="3"/>
      <c r="C8" s="3">
        <v>2009</v>
      </c>
      <c r="D8" s="3" t="str">
        <f>CONCATENATE(Data!$C8,Data!$B8)</f>
        <v>2009</v>
      </c>
      <c r="E8" s="57">
        <v>505499468</v>
      </c>
      <c r="F8" s="57">
        <v>373505101</v>
      </c>
      <c r="G8" s="57">
        <v>73732379</v>
      </c>
      <c r="H8" s="57">
        <v>967529671</v>
      </c>
      <c r="I8" s="57">
        <v>967529671</v>
      </c>
      <c r="J8" s="57">
        <v>868300424</v>
      </c>
      <c r="K8" s="57">
        <v>80397261</v>
      </c>
      <c r="L8" s="56">
        <v>16822987</v>
      </c>
      <c r="M8" s="57">
        <v>28801443</v>
      </c>
      <c r="N8" s="2">
        <f t="shared" si="0"/>
        <v>0.897440616061479</v>
      </c>
      <c r="O8" s="4">
        <f t="shared" si="1"/>
        <v>0.083095395841354</v>
      </c>
    </row>
    <row r="9" spans="1:15" ht="15.75" customHeight="1">
      <c r="A9" s="1" t="s">
        <v>17</v>
      </c>
      <c r="B9" s="3"/>
      <c r="C9" s="3">
        <v>2009</v>
      </c>
      <c r="D9" s="3" t="str">
        <f>CONCATENATE(Data!$C9,Data!$B9)</f>
        <v>2009</v>
      </c>
      <c r="E9" s="57">
        <v>1000273997</v>
      </c>
      <c r="F9" s="57">
        <v>565197607</v>
      </c>
      <c r="G9" s="57">
        <v>252571331</v>
      </c>
      <c r="H9" s="57">
        <v>2440405372</v>
      </c>
      <c r="I9" s="57">
        <v>2440405372</v>
      </c>
      <c r="J9" s="57">
        <v>2130598739</v>
      </c>
      <c r="K9" s="57">
        <v>311857693</v>
      </c>
      <c r="L9" s="56">
        <v>-2051060</v>
      </c>
      <c r="M9" s="57">
        <v>21885285</v>
      </c>
      <c r="N9" s="2">
        <f t="shared" si="0"/>
        <v>0.8730511592235587</v>
      </c>
      <c r="O9" s="4">
        <f t="shared" si="1"/>
        <v>0.12778929950659032</v>
      </c>
    </row>
    <row r="10" spans="1:15" ht="15.75" customHeight="1">
      <c r="A10" s="1" t="s">
        <v>20</v>
      </c>
      <c r="B10" s="3"/>
      <c r="C10" s="3">
        <v>2009</v>
      </c>
      <c r="D10" s="3" t="str">
        <f>CONCATENATE(Data!$C10,Data!$B10)</f>
        <v>2009</v>
      </c>
      <c r="E10" s="57">
        <v>15691890</v>
      </c>
      <c r="F10" s="57">
        <v>6274729</v>
      </c>
      <c r="G10" s="57">
        <v>6777249</v>
      </c>
      <c r="H10" s="57">
        <v>53586464</v>
      </c>
      <c r="I10" s="57">
        <v>53586464</v>
      </c>
      <c r="J10" s="57">
        <v>49688817</v>
      </c>
      <c r="K10" s="57">
        <v>3485872</v>
      </c>
      <c r="L10" s="56">
        <v>411775</v>
      </c>
      <c r="M10" s="57">
        <v>269749</v>
      </c>
      <c r="N10" s="2">
        <f t="shared" si="0"/>
        <v>0.927264336754894</v>
      </c>
      <c r="O10" s="4">
        <f t="shared" si="1"/>
        <v>0.06505135326712358</v>
      </c>
    </row>
    <row r="11" spans="1:15" ht="15.75" customHeight="1">
      <c r="A11" s="1" t="s">
        <v>21</v>
      </c>
      <c r="B11" s="3"/>
      <c r="C11" s="3">
        <v>2009</v>
      </c>
      <c r="D11" s="3" t="str">
        <f>CONCATENATE(Data!$C11,Data!$B11)</f>
        <v>2009</v>
      </c>
      <c r="E11" s="57">
        <v>11417576</v>
      </c>
      <c r="F11" s="57">
        <v>5877395</v>
      </c>
      <c r="G11" s="57">
        <v>3536500</v>
      </c>
      <c r="H11" s="57">
        <v>36770901</v>
      </c>
      <c r="I11" s="57">
        <v>36770901</v>
      </c>
      <c r="J11" s="57">
        <v>29009342</v>
      </c>
      <c r="K11" s="57">
        <v>6584257</v>
      </c>
      <c r="L11" s="56">
        <v>1177302</v>
      </c>
      <c r="M11" s="57">
        <v>1225899</v>
      </c>
      <c r="N11" s="2">
        <f t="shared" si="0"/>
        <v>0.7889211635037172</v>
      </c>
      <c r="O11" s="4">
        <f t="shared" si="1"/>
        <v>0.1790616172282534</v>
      </c>
    </row>
    <row r="12" spans="1:15" ht="15.75" customHeight="1">
      <c r="A12" s="1" t="s">
        <v>18</v>
      </c>
      <c r="B12" s="3"/>
      <c r="C12" s="3">
        <v>2010</v>
      </c>
      <c r="D12" s="3" t="str">
        <f>CONCATENATE(Data!$C12,Data!$B12)</f>
        <v>2010</v>
      </c>
      <c r="E12" s="57">
        <v>14765585</v>
      </c>
      <c r="F12" s="57">
        <v>5874603</v>
      </c>
      <c r="G12" s="57">
        <v>5539396</v>
      </c>
      <c r="H12" s="57">
        <v>50030946</v>
      </c>
      <c r="I12" s="57">
        <v>50030946</v>
      </c>
      <c r="J12" s="57">
        <v>42360248</v>
      </c>
      <c r="K12" s="57">
        <v>7085178</v>
      </c>
      <c r="L12" s="56">
        <v>585520</v>
      </c>
      <c r="M12" s="57">
        <v>432285</v>
      </c>
      <c r="N12" s="2">
        <f t="shared" si="0"/>
        <v>0.8466809322374196</v>
      </c>
      <c r="O12" s="4">
        <f t="shared" si="1"/>
        <v>0.14161591108031418</v>
      </c>
    </row>
    <row r="13" spans="1:15" ht="15.75" customHeight="1">
      <c r="A13" s="1" t="s">
        <v>11</v>
      </c>
      <c r="B13" s="3"/>
      <c r="C13" s="3">
        <v>2010</v>
      </c>
      <c r="D13" s="3" t="str">
        <f>CONCATENATE(Data!$C13,Data!$B13)</f>
        <v>2010</v>
      </c>
      <c r="E13" s="57">
        <v>109287281</v>
      </c>
      <c r="F13" s="57">
        <v>63307359</v>
      </c>
      <c r="G13" s="57">
        <v>28760927</v>
      </c>
      <c r="H13" s="57">
        <v>363730731</v>
      </c>
      <c r="I13" s="57">
        <v>363730731</v>
      </c>
      <c r="J13" s="57">
        <v>295109630</v>
      </c>
      <c r="K13" s="57">
        <v>48247856</v>
      </c>
      <c r="L13" s="56">
        <v>21764127</v>
      </c>
      <c r="M13" s="57">
        <v>16606808</v>
      </c>
      <c r="N13" s="2">
        <f t="shared" si="0"/>
        <v>0.8113409312121059</v>
      </c>
      <c r="O13" s="4">
        <f t="shared" si="1"/>
        <v>0.13264718069697554</v>
      </c>
    </row>
    <row r="14" spans="1:15" ht="15.75" customHeight="1">
      <c r="A14" s="1" t="s">
        <v>12</v>
      </c>
      <c r="B14" s="3"/>
      <c r="C14" s="3">
        <v>2010</v>
      </c>
      <c r="D14" s="3" t="str">
        <f>CONCATENATE(Data!$C14,Data!$B14)</f>
        <v>2010</v>
      </c>
      <c r="E14" s="57">
        <v>966159041</v>
      </c>
      <c r="F14" s="57">
        <v>499991024</v>
      </c>
      <c r="G14" s="57">
        <v>31886704</v>
      </c>
      <c r="H14" s="57">
        <v>2469151111</v>
      </c>
      <c r="I14" s="57">
        <v>2529166094</v>
      </c>
      <c r="J14" s="57">
        <v>2369082017</v>
      </c>
      <c r="K14" s="57">
        <v>143860486</v>
      </c>
      <c r="L14" s="56">
        <v>16223591</v>
      </c>
      <c r="M14" s="57">
        <v>39486783</v>
      </c>
      <c r="N14" s="2">
        <f t="shared" si="0"/>
        <v>0.9594722682001134</v>
      </c>
      <c r="O14" s="4">
        <f t="shared" si="1"/>
        <v>0.05826313560118111</v>
      </c>
    </row>
    <row r="15" spans="1:15" ht="15.75" customHeight="1">
      <c r="A15" s="1" t="s">
        <v>13</v>
      </c>
      <c r="B15" s="3"/>
      <c r="C15" s="3">
        <v>2010</v>
      </c>
      <c r="D15" s="3" t="str">
        <f>CONCATENATE(Data!$C15,Data!$B15)</f>
        <v>2010</v>
      </c>
      <c r="E15" s="57">
        <v>97021033</v>
      </c>
      <c r="F15" s="57">
        <v>54758998</v>
      </c>
      <c r="G15" s="57">
        <v>21089223</v>
      </c>
      <c r="H15" s="57">
        <v>190280046</v>
      </c>
      <c r="I15" s="57">
        <v>190280046</v>
      </c>
      <c r="J15" s="57">
        <v>157350861</v>
      </c>
      <c r="K15" s="57">
        <v>44219549</v>
      </c>
      <c r="L15" s="56">
        <v>-11290364</v>
      </c>
      <c r="M15" s="57">
        <v>-4185255</v>
      </c>
      <c r="N15" s="2">
        <f t="shared" si="0"/>
        <v>0.8269435724227227</v>
      </c>
      <c r="O15" s="4">
        <f t="shared" si="1"/>
        <v>0.23239193982536666</v>
      </c>
    </row>
    <row r="16" spans="1:15" ht="15.75" customHeight="1">
      <c r="A16" s="1" t="s">
        <v>14</v>
      </c>
      <c r="B16" s="3"/>
      <c r="C16" s="3">
        <v>2010</v>
      </c>
      <c r="D16" s="3" t="str">
        <f>CONCATENATE(Data!$C16,Data!$B16)</f>
        <v>2010</v>
      </c>
      <c r="E16" s="57">
        <v>244136745</v>
      </c>
      <c r="F16" s="57">
        <v>76604830</v>
      </c>
      <c r="G16" s="57">
        <v>21609000</v>
      </c>
      <c r="H16" s="57">
        <v>216412855</v>
      </c>
      <c r="I16" s="57">
        <v>216412855</v>
      </c>
      <c r="J16" s="57">
        <v>201964285</v>
      </c>
      <c r="K16" s="57">
        <v>14383172</v>
      </c>
      <c r="L16" s="56">
        <v>65398</v>
      </c>
      <c r="M16" s="57">
        <v>3580211</v>
      </c>
      <c r="N16" s="2">
        <f t="shared" si="0"/>
        <v>0.9332360824868744</v>
      </c>
      <c r="O16" s="4">
        <f t="shared" si="1"/>
        <v>0.06646172659198087</v>
      </c>
    </row>
    <row r="17" spans="1:15" ht="15.75" customHeight="1">
      <c r="A17" s="1" t="s">
        <v>15</v>
      </c>
      <c r="B17" s="3"/>
      <c r="C17" s="3">
        <v>2010</v>
      </c>
      <c r="D17" s="3" t="str">
        <f>CONCATENATE(Data!$C17,Data!$B17)</f>
        <v>2010</v>
      </c>
      <c r="E17" s="57">
        <v>196430513</v>
      </c>
      <c r="F17" s="57">
        <v>114107602</v>
      </c>
      <c r="G17" s="57">
        <v>44113963</v>
      </c>
      <c r="H17" s="57">
        <v>582966063</v>
      </c>
      <c r="I17" s="57">
        <v>582966063</v>
      </c>
      <c r="J17" s="57">
        <v>493099186</v>
      </c>
      <c r="K17" s="57">
        <v>84978743</v>
      </c>
      <c r="L17" s="56">
        <v>4888134</v>
      </c>
      <c r="M17" s="57">
        <v>8134728</v>
      </c>
      <c r="N17" s="2">
        <f t="shared" si="0"/>
        <v>0.8458454398914127</v>
      </c>
      <c r="O17" s="4">
        <f t="shared" si="1"/>
        <v>0.1457696226135208</v>
      </c>
    </row>
    <row r="18" spans="1:15" ht="15.75" customHeight="1">
      <c r="A18" s="1" t="s">
        <v>16</v>
      </c>
      <c r="B18" s="3"/>
      <c r="C18" s="3">
        <v>2010</v>
      </c>
      <c r="D18" s="3" t="str">
        <f>CONCATENATE(Data!$C18,Data!$B18)</f>
        <v>2010</v>
      </c>
      <c r="E18" s="57">
        <v>545650796</v>
      </c>
      <c r="F18" s="57">
        <v>418180948</v>
      </c>
      <c r="G18" s="57">
        <v>75292158</v>
      </c>
      <c r="H18" s="57">
        <v>980489404</v>
      </c>
      <c r="I18" s="57">
        <v>980489404</v>
      </c>
      <c r="J18" s="57">
        <v>880647522</v>
      </c>
      <c r="K18" s="57">
        <v>72631174</v>
      </c>
      <c r="L18" s="56">
        <v>29084090</v>
      </c>
      <c r="M18" s="57">
        <v>54658768</v>
      </c>
      <c r="N18" s="2">
        <f t="shared" si="0"/>
        <v>0.8981713809525268</v>
      </c>
      <c r="O18" s="4">
        <f t="shared" si="1"/>
        <v>0.07407644968287694</v>
      </c>
    </row>
    <row r="19" spans="1:15" ht="15.75" customHeight="1">
      <c r="A19" s="1" t="s">
        <v>17</v>
      </c>
      <c r="B19" s="3"/>
      <c r="C19" s="3">
        <v>2010</v>
      </c>
      <c r="D19" s="3" t="str">
        <f>CONCATENATE(Data!$C19,Data!$B19)</f>
        <v>2010</v>
      </c>
      <c r="E19" s="57">
        <v>933530882</v>
      </c>
      <c r="F19" s="57">
        <v>544163691</v>
      </c>
      <c r="G19" s="57">
        <v>161952696</v>
      </c>
      <c r="H19" s="57">
        <v>1892922218</v>
      </c>
      <c r="I19" s="57">
        <v>1892922218</v>
      </c>
      <c r="J19" s="57">
        <v>1560421394</v>
      </c>
      <c r="K19" s="57">
        <v>296385558</v>
      </c>
      <c r="L19" s="56">
        <v>36115266</v>
      </c>
      <c r="M19" s="57">
        <v>75158557</v>
      </c>
      <c r="N19" s="2">
        <f t="shared" si="0"/>
        <v>0.8243452262125649</v>
      </c>
      <c r="O19" s="4">
        <f t="shared" si="1"/>
        <v>0.15657566654437144</v>
      </c>
    </row>
    <row r="20" spans="1:15" ht="15.75" customHeight="1">
      <c r="A20" s="1" t="s">
        <v>20</v>
      </c>
      <c r="B20" s="3"/>
      <c r="C20" s="3">
        <v>2010</v>
      </c>
      <c r="D20" s="3" t="str">
        <f>CONCATENATE(Data!$C20,Data!$B20)</f>
        <v>2010</v>
      </c>
      <c r="E20" s="57">
        <v>15226503</v>
      </c>
      <c r="F20" s="57">
        <v>6976078</v>
      </c>
      <c r="G20" s="57">
        <v>7529937</v>
      </c>
      <c r="H20" s="57">
        <v>56304902</v>
      </c>
      <c r="I20" s="57">
        <v>56304902</v>
      </c>
      <c r="J20" s="57">
        <v>53178487</v>
      </c>
      <c r="K20" s="57">
        <v>4429833</v>
      </c>
      <c r="L20" s="56">
        <v>-1303418</v>
      </c>
      <c r="M20" s="57">
        <v>-766690</v>
      </c>
      <c r="N20" s="2">
        <f t="shared" si="0"/>
        <v>0.9444734847420567</v>
      </c>
      <c r="O20" s="4">
        <f t="shared" si="1"/>
        <v>0.07867579629212391</v>
      </c>
    </row>
    <row r="21" spans="1:15" ht="15.75" customHeight="1">
      <c r="A21" s="1" t="s">
        <v>21</v>
      </c>
      <c r="B21" s="3"/>
      <c r="C21" s="3">
        <v>2010</v>
      </c>
      <c r="D21" s="3" t="str">
        <f>CONCATENATE(Data!$C21,Data!$B21)</f>
        <v>2010</v>
      </c>
      <c r="E21" s="57">
        <v>11846788</v>
      </c>
      <c r="F21" s="57">
        <v>5640181</v>
      </c>
      <c r="G21" s="57">
        <v>3839200</v>
      </c>
      <c r="H21" s="57">
        <v>42495274</v>
      </c>
      <c r="I21" s="57">
        <v>42495274</v>
      </c>
      <c r="J21" s="57">
        <v>35203987</v>
      </c>
      <c r="K21" s="57">
        <v>7131003</v>
      </c>
      <c r="L21" s="56">
        <v>160284</v>
      </c>
      <c r="M21" s="57">
        <v>-121763</v>
      </c>
      <c r="N21" s="2">
        <f t="shared" si="0"/>
        <v>0.82842122632272</v>
      </c>
      <c r="O21" s="4">
        <f t="shared" si="1"/>
        <v>0.16780696601697404</v>
      </c>
    </row>
    <row r="22" spans="1:15" ht="15.75" customHeight="1">
      <c r="A22" s="1" t="s">
        <v>18</v>
      </c>
      <c r="B22" s="3"/>
      <c r="C22" s="3">
        <v>2011</v>
      </c>
      <c r="D22" s="3" t="str">
        <f>CONCATENATE(Data!$C22,Data!$B22)</f>
        <v>2011</v>
      </c>
      <c r="E22" s="57">
        <v>28449748</v>
      </c>
      <c r="F22" s="57">
        <v>17020405</v>
      </c>
      <c r="G22" s="57">
        <v>9717780</v>
      </c>
      <c r="H22" s="57">
        <v>77937045</v>
      </c>
      <c r="I22" s="57">
        <v>77937045</v>
      </c>
      <c r="J22" s="57">
        <v>66118950</v>
      </c>
      <c r="K22" s="57">
        <v>9964511</v>
      </c>
      <c r="L22" s="56">
        <v>1853584</v>
      </c>
      <c r="M22" s="57">
        <v>1237681</v>
      </c>
      <c r="N22" s="2">
        <f t="shared" si="0"/>
        <v>0.8483635734457214</v>
      </c>
      <c r="O22" s="4">
        <f t="shared" si="1"/>
        <v>0.12785333341801708</v>
      </c>
    </row>
    <row r="23" spans="1:15" ht="15.75" customHeight="1">
      <c r="A23" s="1" t="s">
        <v>11</v>
      </c>
      <c r="B23" s="3"/>
      <c r="C23" s="3">
        <v>2011</v>
      </c>
      <c r="D23" s="3" t="str">
        <f>CONCATENATE(Data!$C23,Data!$B23)</f>
        <v>2011</v>
      </c>
      <c r="E23" s="57">
        <v>113250581</v>
      </c>
      <c r="F23" s="57">
        <v>69990980</v>
      </c>
      <c r="G23" s="57">
        <v>30473915</v>
      </c>
      <c r="H23" s="57">
        <v>354470768</v>
      </c>
      <c r="I23" s="57">
        <v>354470768</v>
      </c>
      <c r="J23" s="57">
        <v>279139459</v>
      </c>
      <c r="K23" s="57">
        <v>47906072</v>
      </c>
      <c r="L23" s="56">
        <v>27376187</v>
      </c>
      <c r="M23" s="57">
        <v>21486203</v>
      </c>
      <c r="N23" s="2">
        <f t="shared" si="0"/>
        <v>0.7874823094016035</v>
      </c>
      <c r="O23" s="4">
        <f t="shared" si="1"/>
        <v>0.1351481598053806</v>
      </c>
    </row>
    <row r="24" spans="1:15" ht="15.75" customHeight="1">
      <c r="A24" s="1" t="s">
        <v>12</v>
      </c>
      <c r="B24" s="3"/>
      <c r="C24" s="3">
        <v>2011</v>
      </c>
      <c r="D24" s="3" t="str">
        <f>CONCATENATE(Data!$C24,Data!$B24)</f>
        <v>2011</v>
      </c>
      <c r="E24" s="57">
        <v>1097883066</v>
      </c>
      <c r="F24" s="57">
        <v>490570548</v>
      </c>
      <c r="G24" s="57">
        <v>39157319</v>
      </c>
      <c r="H24" s="57">
        <v>2636683493</v>
      </c>
      <c r="I24" s="57">
        <v>2698750937</v>
      </c>
      <c r="J24" s="57">
        <v>2506533411</v>
      </c>
      <c r="K24" s="57">
        <v>180904332</v>
      </c>
      <c r="L24" s="56">
        <v>11313194</v>
      </c>
      <c r="M24" s="57">
        <v>33004427</v>
      </c>
      <c r="N24" s="2">
        <f t="shared" si="0"/>
        <v>0.9506387162715855</v>
      </c>
      <c r="O24" s="4">
        <f t="shared" si="1"/>
        <v>0.06861056038021777</v>
      </c>
    </row>
    <row r="25" spans="1:15" ht="15.75" customHeight="1">
      <c r="A25" s="1" t="s">
        <v>13</v>
      </c>
      <c r="B25" s="3"/>
      <c r="C25" s="3">
        <v>2011</v>
      </c>
      <c r="D25" s="3" t="str">
        <f>CONCATENATE(Data!$C25,Data!$B25)</f>
        <v>2011</v>
      </c>
      <c r="E25" s="57">
        <v>91566632</v>
      </c>
      <c r="F25" s="57">
        <v>62480141</v>
      </c>
      <c r="G25" s="57">
        <v>17144793</v>
      </c>
      <c r="H25" s="57">
        <v>171244132</v>
      </c>
      <c r="I25" s="57">
        <v>171244132</v>
      </c>
      <c r="J25" s="57">
        <v>134646097</v>
      </c>
      <c r="K25" s="57">
        <v>34678112</v>
      </c>
      <c r="L25" s="56">
        <v>1919923</v>
      </c>
      <c r="M25" s="57">
        <v>4261632</v>
      </c>
      <c r="N25" s="2">
        <f t="shared" si="0"/>
        <v>0.7862815235035324</v>
      </c>
      <c r="O25" s="4">
        <f t="shared" si="1"/>
        <v>0.2025068631256807</v>
      </c>
    </row>
    <row r="26" spans="1:15" ht="15.75" customHeight="1">
      <c r="A26" s="1" t="s">
        <v>14</v>
      </c>
      <c r="B26" s="3"/>
      <c r="C26" s="3">
        <v>2011</v>
      </c>
      <c r="D26" s="3" t="str">
        <f>CONCATENATE(Data!$C26,Data!$B26)</f>
        <v>2011</v>
      </c>
      <c r="E26" s="57">
        <v>257662531</v>
      </c>
      <c r="F26" s="57">
        <v>80826023</v>
      </c>
      <c r="G26" s="57">
        <v>23608200</v>
      </c>
      <c r="H26" s="57">
        <v>217441207</v>
      </c>
      <c r="I26" s="57">
        <v>217441207</v>
      </c>
      <c r="J26" s="57">
        <v>196217406</v>
      </c>
      <c r="K26" s="57">
        <v>19093750</v>
      </c>
      <c r="L26" s="56">
        <v>2130051</v>
      </c>
      <c r="M26" s="57">
        <v>5861685</v>
      </c>
      <c r="N26" s="2">
        <f t="shared" si="0"/>
        <v>0.9023929213196467</v>
      </c>
      <c r="O26" s="4">
        <f t="shared" si="1"/>
        <v>0.08781109277047014</v>
      </c>
    </row>
    <row r="27" spans="1:15" ht="15.75" customHeight="1">
      <c r="A27" s="1" t="s">
        <v>15</v>
      </c>
      <c r="B27" s="3"/>
      <c r="C27" s="3">
        <v>2011</v>
      </c>
      <c r="D27" s="3" t="str">
        <f>CONCATENATE(Data!$C27,Data!$B27)</f>
        <v>2011</v>
      </c>
      <c r="E27" s="57">
        <v>203462605</v>
      </c>
      <c r="F27" s="57">
        <v>125718050</v>
      </c>
      <c r="G27" s="57">
        <v>53497215</v>
      </c>
      <c r="H27" s="57">
        <v>644264736</v>
      </c>
      <c r="I27" s="57">
        <v>644237184</v>
      </c>
      <c r="J27" s="57">
        <v>545553079</v>
      </c>
      <c r="K27" s="57">
        <v>89376112</v>
      </c>
      <c r="L27" s="56">
        <v>9307994</v>
      </c>
      <c r="M27" s="57">
        <v>10919667</v>
      </c>
      <c r="N27" s="2">
        <f t="shared" si="0"/>
        <v>0.8467840136449747</v>
      </c>
      <c r="O27" s="4">
        <f t="shared" si="1"/>
        <v>0.13872575512188207</v>
      </c>
    </row>
    <row r="28" spans="1:15" ht="15.75" customHeight="1">
      <c r="A28" s="1" t="s">
        <v>16</v>
      </c>
      <c r="B28" s="3"/>
      <c r="C28" s="3">
        <v>2011</v>
      </c>
      <c r="D28" s="3" t="str">
        <f>CONCATENATE(Data!$C28,Data!$B28)</f>
        <v>2011</v>
      </c>
      <c r="E28" s="57">
        <v>582939803</v>
      </c>
      <c r="F28" s="57">
        <v>431504027</v>
      </c>
      <c r="G28" s="57">
        <v>76926573</v>
      </c>
      <c r="H28" s="57">
        <v>1035581800</v>
      </c>
      <c r="I28" s="57">
        <v>1035640281</v>
      </c>
      <c r="J28" s="57">
        <v>912599461</v>
      </c>
      <c r="K28" s="57">
        <v>80118990</v>
      </c>
      <c r="L28" s="56">
        <v>42217001</v>
      </c>
      <c r="M28" s="57">
        <v>68956244</v>
      </c>
      <c r="N28" s="2">
        <f t="shared" si="0"/>
        <v>0.8812432402732454</v>
      </c>
      <c r="O28" s="4">
        <f t="shared" si="1"/>
        <v>0.07736616267300178</v>
      </c>
    </row>
    <row r="29" spans="1:15" ht="15.75" customHeight="1">
      <c r="A29" s="1" t="s">
        <v>17</v>
      </c>
      <c r="B29" s="3"/>
      <c r="C29" s="3">
        <v>2011</v>
      </c>
      <c r="D29" s="3" t="str">
        <f>CONCATENATE(Data!$C29,Data!$B29)</f>
        <v>2011</v>
      </c>
      <c r="E29" s="57">
        <v>934713178</v>
      </c>
      <c r="F29" s="57">
        <v>522000538</v>
      </c>
      <c r="G29" s="57">
        <v>209886130</v>
      </c>
      <c r="H29" s="57">
        <v>1865874980</v>
      </c>
      <c r="I29" s="57">
        <v>1865874980</v>
      </c>
      <c r="J29" s="57">
        <v>1610730341</v>
      </c>
      <c r="K29" s="57">
        <v>272456454</v>
      </c>
      <c r="L29" s="56">
        <v>-17311815</v>
      </c>
      <c r="M29" s="57">
        <v>6932273</v>
      </c>
      <c r="N29" s="2">
        <f t="shared" si="0"/>
        <v>0.8632573769760287</v>
      </c>
      <c r="O29" s="4">
        <f t="shared" si="1"/>
        <v>0.14602074464817574</v>
      </c>
    </row>
    <row r="30" spans="1:15" ht="15.75" customHeight="1">
      <c r="A30" s="1" t="s">
        <v>20</v>
      </c>
      <c r="B30" s="3"/>
      <c r="C30" s="3">
        <v>2011</v>
      </c>
      <c r="D30" s="3" t="str">
        <f>CONCATENATE(Data!$C30,Data!$B30)</f>
        <v>2011</v>
      </c>
      <c r="E30" s="57">
        <v>13386647</v>
      </c>
      <c r="F30" s="57">
        <v>6618155</v>
      </c>
      <c r="G30" s="57">
        <v>6216240</v>
      </c>
      <c r="H30" s="57">
        <v>57077427</v>
      </c>
      <c r="I30" s="57">
        <v>57077427</v>
      </c>
      <c r="J30" s="57">
        <v>53564563</v>
      </c>
      <c r="K30" s="57">
        <v>4388079</v>
      </c>
      <c r="L30" s="56">
        <v>-875215</v>
      </c>
      <c r="M30" s="57">
        <v>-413844</v>
      </c>
      <c r="N30" s="2">
        <f t="shared" si="0"/>
        <v>0.9384544086053493</v>
      </c>
      <c r="O30" s="4">
        <f t="shared" si="1"/>
        <v>0.07687941154039757</v>
      </c>
    </row>
    <row r="31" spans="1:15" ht="15.75" customHeight="1">
      <c r="A31" s="1" t="s">
        <v>21</v>
      </c>
      <c r="B31" s="3"/>
      <c r="C31" s="3">
        <v>2011</v>
      </c>
      <c r="D31" s="3" t="str">
        <f>CONCATENATE(Data!$C31,Data!$B31)</f>
        <v>2011</v>
      </c>
      <c r="E31" s="57">
        <v>11617657</v>
      </c>
      <c r="F31" s="57">
        <v>5372713</v>
      </c>
      <c r="G31" s="57">
        <v>5046200</v>
      </c>
      <c r="H31" s="57">
        <v>43401335</v>
      </c>
      <c r="I31" s="57">
        <v>43401335</v>
      </c>
      <c r="J31" s="57">
        <v>36887475</v>
      </c>
      <c r="K31" s="57">
        <v>7007558</v>
      </c>
      <c r="L31" s="56">
        <v>-493698</v>
      </c>
      <c r="M31" s="57">
        <v>-226696</v>
      </c>
      <c r="N31" s="2">
        <f t="shared" si="0"/>
        <v>0.8499156765569539</v>
      </c>
      <c r="O31" s="4">
        <f t="shared" si="1"/>
        <v>0.1614595034922313</v>
      </c>
    </row>
    <row r="32" spans="1:15" ht="15.75" customHeight="1">
      <c r="A32" s="1" t="s">
        <v>18</v>
      </c>
      <c r="B32" s="3"/>
      <c r="C32" s="3">
        <v>2012</v>
      </c>
      <c r="D32" s="3" t="str">
        <f>CONCATENATE(Data!$C32,Data!$B32)</f>
        <v>2012</v>
      </c>
      <c r="E32" s="57">
        <v>33404828</v>
      </c>
      <c r="F32" s="57">
        <v>19405091</v>
      </c>
      <c r="G32" s="57">
        <v>8580441</v>
      </c>
      <c r="H32" s="57">
        <v>135500367</v>
      </c>
      <c r="I32" s="57">
        <v>135500367</v>
      </c>
      <c r="J32" s="57">
        <v>114334384</v>
      </c>
      <c r="K32" s="57">
        <v>17179553</v>
      </c>
      <c r="L32" s="56">
        <v>3986430</v>
      </c>
      <c r="M32" s="57">
        <v>2715749</v>
      </c>
      <c r="N32" s="2">
        <f t="shared" si="0"/>
        <v>0.8437939064770208</v>
      </c>
      <c r="O32" s="4">
        <f t="shared" si="1"/>
        <v>0.12678602560537713</v>
      </c>
    </row>
    <row r="33" spans="1:15" ht="15.75" customHeight="1">
      <c r="A33" s="1" t="s">
        <v>11</v>
      </c>
      <c r="B33" s="3"/>
      <c r="C33" s="3">
        <v>2012</v>
      </c>
      <c r="D33" s="3" t="str">
        <f>CONCATENATE(Data!$C33,Data!$B33)</f>
        <v>2012</v>
      </c>
      <c r="E33" s="57">
        <v>121437370</v>
      </c>
      <c r="F33" s="57">
        <v>66726172</v>
      </c>
      <c r="G33" s="57">
        <v>38979056</v>
      </c>
      <c r="H33" s="57">
        <v>368785153</v>
      </c>
      <c r="I33" s="57">
        <v>368785153</v>
      </c>
      <c r="J33" s="57">
        <v>306602910</v>
      </c>
      <c r="K33" s="57">
        <v>51067285</v>
      </c>
      <c r="L33" s="56">
        <v>10274288</v>
      </c>
      <c r="M33" s="57">
        <v>10589254</v>
      </c>
      <c r="N33" s="2">
        <f t="shared" si="0"/>
        <v>0.8313862624507554</v>
      </c>
      <c r="O33" s="4">
        <f t="shared" si="1"/>
        <v>0.13847435175894948</v>
      </c>
    </row>
    <row r="34" spans="1:15" ht="15.75" customHeight="1">
      <c r="A34" s="1" t="s">
        <v>12</v>
      </c>
      <c r="B34" s="3"/>
      <c r="C34" s="3">
        <v>2012</v>
      </c>
      <c r="D34" s="3" t="str">
        <f>CONCATENATE(Data!$C34,Data!$B34)</f>
        <v>2012</v>
      </c>
      <c r="E34" s="57">
        <v>1152730905</v>
      </c>
      <c r="F34" s="57">
        <v>471710370</v>
      </c>
      <c r="G34" s="57">
        <v>44981755</v>
      </c>
      <c r="H34" s="57">
        <v>2784779044</v>
      </c>
      <c r="I34" s="57">
        <v>2862571362</v>
      </c>
      <c r="J34" s="57">
        <v>2656430387</v>
      </c>
      <c r="K34" s="57">
        <v>205348512</v>
      </c>
      <c r="L34" s="56">
        <v>792463</v>
      </c>
      <c r="M34" s="57">
        <v>21994667</v>
      </c>
      <c r="N34" s="2">
        <f t="shared" si="0"/>
        <v>0.9539106496522458</v>
      </c>
      <c r="O34" s="4">
        <f t="shared" si="1"/>
        <v>0.07373960689715675</v>
      </c>
    </row>
    <row r="35" spans="1:15" ht="15.75" customHeight="1">
      <c r="A35" s="1" t="s">
        <v>13</v>
      </c>
      <c r="B35" s="3"/>
      <c r="C35" s="3">
        <v>2012</v>
      </c>
      <c r="D35" s="3" t="str">
        <f>CONCATENATE(Data!$C35,Data!$B35)</f>
        <v>2012</v>
      </c>
      <c r="E35" s="57">
        <v>99725408</v>
      </c>
      <c r="F35" s="57">
        <v>64704973</v>
      </c>
      <c r="G35" s="57">
        <v>19112969</v>
      </c>
      <c r="H35" s="57">
        <v>160070899</v>
      </c>
      <c r="I35" s="57">
        <v>160070899</v>
      </c>
      <c r="J35" s="57">
        <v>128913851</v>
      </c>
      <c r="K35" s="57">
        <v>33613510</v>
      </c>
      <c r="L35" s="56">
        <v>-2464065</v>
      </c>
      <c r="M35" s="57">
        <v>-229893</v>
      </c>
      <c r="N35" s="2">
        <f t="shared" si="0"/>
        <v>0.8053547009815945</v>
      </c>
      <c r="O35" s="4">
        <f t="shared" si="1"/>
        <v>0.20999138637935683</v>
      </c>
    </row>
    <row r="36" spans="1:15" ht="15.75" customHeight="1">
      <c r="A36" s="1" t="s">
        <v>14</v>
      </c>
      <c r="B36" s="3"/>
      <c r="C36" s="3">
        <v>2012</v>
      </c>
      <c r="D36" s="3" t="str">
        <f>CONCATENATE(Data!$C36,Data!$B36)</f>
        <v>2012</v>
      </c>
      <c r="E36" s="57">
        <v>284109432</v>
      </c>
      <c r="F36" s="57">
        <v>75878603</v>
      </c>
      <c r="G36" s="57">
        <v>29299200</v>
      </c>
      <c r="H36" s="57">
        <v>249432584</v>
      </c>
      <c r="I36" s="57">
        <v>249432584</v>
      </c>
      <c r="J36" s="57">
        <v>218001777</v>
      </c>
      <c r="K36" s="57">
        <v>26238285</v>
      </c>
      <c r="L36" s="56">
        <v>5192522</v>
      </c>
      <c r="M36" s="57">
        <v>5260256</v>
      </c>
      <c r="N36" s="2">
        <f t="shared" si="0"/>
        <v>0.8739907733947061</v>
      </c>
      <c r="O36" s="4">
        <f t="shared" si="1"/>
        <v>0.10519189024638417</v>
      </c>
    </row>
    <row r="37" spans="1:15" ht="15.75" customHeight="1">
      <c r="A37" s="1" t="s">
        <v>15</v>
      </c>
      <c r="B37" s="3"/>
      <c r="C37" s="3">
        <v>2012</v>
      </c>
      <c r="D37" s="3" t="str">
        <f>CONCATENATE(Data!$C37,Data!$B37)</f>
        <v>2012</v>
      </c>
      <c r="E37" s="57">
        <v>209216149</v>
      </c>
      <c r="F37" s="57">
        <v>109776825</v>
      </c>
      <c r="G37" s="57">
        <v>69020556</v>
      </c>
      <c r="H37" s="57">
        <v>722244665</v>
      </c>
      <c r="I37" s="57">
        <v>722232759</v>
      </c>
      <c r="J37" s="57">
        <v>650530509</v>
      </c>
      <c r="K37" s="57">
        <v>104765890</v>
      </c>
      <c r="L37" s="56">
        <v>-33063640</v>
      </c>
      <c r="M37" s="57">
        <v>-25935955</v>
      </c>
      <c r="N37" s="2">
        <f t="shared" si="0"/>
        <v>0.9007065618130942</v>
      </c>
      <c r="O37" s="4">
        <f t="shared" si="1"/>
        <v>0.14505595551889608</v>
      </c>
    </row>
    <row r="38" spans="1:15" ht="15.75" customHeight="1">
      <c r="A38" s="1" t="s">
        <v>16</v>
      </c>
      <c r="B38" s="3"/>
      <c r="C38" s="3">
        <v>2012</v>
      </c>
      <c r="D38" s="3" t="str">
        <f>CONCATENATE(Data!$C38,Data!$B38)</f>
        <v>2012</v>
      </c>
      <c r="E38" s="57">
        <v>654409981</v>
      </c>
      <c r="F38" s="57">
        <v>470267090</v>
      </c>
      <c r="G38" s="57">
        <v>89939576</v>
      </c>
      <c r="H38" s="57">
        <v>1057563082</v>
      </c>
      <c r="I38" s="57">
        <v>1057563082</v>
      </c>
      <c r="J38" s="57">
        <v>936529310</v>
      </c>
      <c r="K38" s="57">
        <v>89416809</v>
      </c>
      <c r="L38" s="56">
        <v>25937282</v>
      </c>
      <c r="M38" s="57">
        <v>49837395</v>
      </c>
      <c r="N38" s="2">
        <f t="shared" si="0"/>
        <v>0.8855540874487523</v>
      </c>
      <c r="O38" s="4">
        <f t="shared" si="1"/>
        <v>0.0845498585586973</v>
      </c>
    </row>
    <row r="39" spans="1:15" ht="15.75" customHeight="1">
      <c r="A39" s="1" t="s">
        <v>17</v>
      </c>
      <c r="B39" s="3"/>
      <c r="C39" s="3">
        <v>2012</v>
      </c>
      <c r="D39" s="3" t="str">
        <f>CONCATENATE(Data!$C39,Data!$B39)</f>
        <v>2012</v>
      </c>
      <c r="E39" s="57">
        <v>938365997</v>
      </c>
      <c r="F39" s="57">
        <v>564960398</v>
      </c>
      <c r="G39" s="57">
        <v>187112733</v>
      </c>
      <c r="H39" s="57">
        <v>1852509161</v>
      </c>
      <c r="I39" s="57">
        <v>1852509161</v>
      </c>
      <c r="J39" s="57">
        <v>1562772940</v>
      </c>
      <c r="K39" s="57">
        <v>273186984</v>
      </c>
      <c r="L39" s="56">
        <v>16549237</v>
      </c>
      <c r="M39" s="57">
        <v>43188312</v>
      </c>
      <c r="N39" s="2">
        <f t="shared" si="0"/>
        <v>0.8435979550872515</v>
      </c>
      <c r="O39" s="4">
        <f t="shared" si="1"/>
        <v>0.14746862782180864</v>
      </c>
    </row>
    <row r="40" spans="1:15" ht="15.75" customHeight="1">
      <c r="A40" s="1" t="s">
        <v>20</v>
      </c>
      <c r="B40" s="3"/>
      <c r="C40" s="3">
        <v>2012</v>
      </c>
      <c r="D40" s="3" t="str">
        <f>CONCATENATE(Data!$C40,Data!$B40)</f>
        <v>2012</v>
      </c>
      <c r="E40" s="57">
        <v>15740992</v>
      </c>
      <c r="F40" s="57">
        <v>7730414</v>
      </c>
      <c r="G40" s="57">
        <v>7056920</v>
      </c>
      <c r="H40" s="57">
        <v>55649482</v>
      </c>
      <c r="I40" s="57">
        <v>55649482</v>
      </c>
      <c r="J40" s="57">
        <v>49164682</v>
      </c>
      <c r="K40" s="57">
        <v>4490186</v>
      </c>
      <c r="L40" s="56">
        <v>1994614</v>
      </c>
      <c r="M40" s="57">
        <v>1292817</v>
      </c>
      <c r="N40" s="2">
        <f t="shared" si="0"/>
        <v>0.8834706134371565</v>
      </c>
      <c r="O40" s="4">
        <f t="shared" si="1"/>
        <v>0.08068693253964161</v>
      </c>
    </row>
    <row r="41" spans="1:15" ht="15.75" customHeight="1">
      <c r="A41" s="1" t="s">
        <v>21</v>
      </c>
      <c r="B41" s="3"/>
      <c r="C41" s="3">
        <v>2012</v>
      </c>
      <c r="D41" s="3" t="str">
        <f>CONCATENATE(Data!$C41,Data!$B41)</f>
        <v>2012</v>
      </c>
      <c r="E41" s="57">
        <v>40416633</v>
      </c>
      <c r="F41" s="57">
        <v>4413451</v>
      </c>
      <c r="G41" s="57">
        <v>28960548</v>
      </c>
      <c r="H41" s="57">
        <v>134049267</v>
      </c>
      <c r="I41" s="57">
        <v>134049267</v>
      </c>
      <c r="J41" s="57">
        <v>116954105</v>
      </c>
      <c r="K41" s="57">
        <v>15270892</v>
      </c>
      <c r="L41" s="56">
        <v>1824270</v>
      </c>
      <c r="M41" s="57">
        <v>-385593</v>
      </c>
      <c r="N41" s="2">
        <f t="shared" si="0"/>
        <v>0.8724710520050811</v>
      </c>
      <c r="O41" s="4">
        <f t="shared" si="1"/>
        <v>0.1139199962950935</v>
      </c>
    </row>
    <row r="42" spans="1:15" ht="15.75" customHeight="1">
      <c r="A42" s="1" t="s">
        <v>18</v>
      </c>
      <c r="B42" s="3"/>
      <c r="C42" s="3">
        <v>2013</v>
      </c>
      <c r="D42" s="3" t="str">
        <f>CONCATENATE(Data!$C42,Data!$B42)</f>
        <v>2013</v>
      </c>
      <c r="E42" s="57">
        <v>38551303</v>
      </c>
      <c r="F42" s="57">
        <v>21117128</v>
      </c>
      <c r="G42" s="57">
        <v>9218709</v>
      </c>
      <c r="H42" s="57">
        <v>148081886</v>
      </c>
      <c r="I42" s="57">
        <v>148081886</v>
      </c>
      <c r="J42" s="57">
        <v>125886997</v>
      </c>
      <c r="K42" s="57">
        <v>18575659</v>
      </c>
      <c r="L42" s="56">
        <v>3619230</v>
      </c>
      <c r="M42" s="57">
        <v>2001076</v>
      </c>
      <c r="N42" s="2">
        <f t="shared" si="0"/>
        <v>0.8501174613618846</v>
      </c>
      <c r="O42" s="4">
        <f t="shared" si="1"/>
        <v>0.12544180454319714</v>
      </c>
    </row>
    <row r="43" spans="1:15" ht="15.75" customHeight="1">
      <c r="A43" s="1" t="s">
        <v>11</v>
      </c>
      <c r="B43" s="3"/>
      <c r="C43" s="3">
        <v>2013</v>
      </c>
      <c r="D43" s="3" t="str">
        <f>CONCATENATE(Data!$C43,Data!$B43)</f>
        <v>2013</v>
      </c>
      <c r="E43" s="57">
        <v>94617882</v>
      </c>
      <c r="F43" s="57">
        <v>53295204</v>
      </c>
      <c r="G43" s="57">
        <v>28901994</v>
      </c>
      <c r="H43" s="57">
        <v>294056815</v>
      </c>
      <c r="I43" s="57">
        <v>294056815</v>
      </c>
      <c r="J43" s="57">
        <v>245401586</v>
      </c>
      <c r="K43" s="57">
        <v>48599990</v>
      </c>
      <c r="L43" s="56">
        <v>1982905</v>
      </c>
      <c r="M43" s="57">
        <v>4590737</v>
      </c>
      <c r="N43" s="2">
        <f t="shared" si="0"/>
        <v>0.8345379990598075</v>
      </c>
      <c r="O43" s="4">
        <f t="shared" si="1"/>
        <v>0.16527414948706426</v>
      </c>
    </row>
    <row r="44" spans="1:15" ht="15.75" customHeight="1">
      <c r="A44" s="1" t="s">
        <v>12</v>
      </c>
      <c r="B44" s="3"/>
      <c r="C44" s="3">
        <v>2013</v>
      </c>
      <c r="D44" s="3" t="str">
        <f>CONCATENATE(Data!$C44,Data!$B44)</f>
        <v>2013</v>
      </c>
      <c r="E44" s="57">
        <v>1216487332</v>
      </c>
      <c r="F44" s="57">
        <v>480142101</v>
      </c>
      <c r="G44" s="57">
        <v>42959042</v>
      </c>
      <c r="H44" s="57">
        <v>2902846893</v>
      </c>
      <c r="I44" s="57">
        <v>3007953433</v>
      </c>
      <c r="J44" s="57">
        <v>2821201585</v>
      </c>
      <c r="K44" s="57">
        <v>216215400</v>
      </c>
      <c r="L44" s="56">
        <v>-29463552</v>
      </c>
      <c r="M44" s="57">
        <v>-14941651</v>
      </c>
      <c r="N44" s="2">
        <f t="shared" si="0"/>
        <v>0.971874056397228</v>
      </c>
      <c r="O44" s="4">
        <f t="shared" si="1"/>
        <v>0.07448391457413321</v>
      </c>
    </row>
    <row r="45" spans="1:15" ht="15.75" customHeight="1">
      <c r="A45" s="1" t="s">
        <v>13</v>
      </c>
      <c r="B45" s="3"/>
      <c r="C45" s="3">
        <v>2013</v>
      </c>
      <c r="D45" s="3" t="str">
        <f>CONCATENATE(Data!$C45,Data!$B45)</f>
        <v>2013</v>
      </c>
      <c r="E45" s="57">
        <v>97930384</v>
      </c>
      <c r="F45" s="57">
        <v>65555403</v>
      </c>
      <c r="G45" s="57">
        <v>16014470</v>
      </c>
      <c r="H45" s="57">
        <v>151253517</v>
      </c>
      <c r="I45" s="57">
        <v>151253517</v>
      </c>
      <c r="J45" s="57">
        <v>117040678</v>
      </c>
      <c r="K45" s="57">
        <v>37027061</v>
      </c>
      <c r="L45" s="56">
        <v>-2819228</v>
      </c>
      <c r="M45" s="57">
        <v>971780</v>
      </c>
      <c r="N45" s="2">
        <f t="shared" si="0"/>
        <v>0.773804671265925</v>
      </c>
      <c r="O45" s="4">
        <f t="shared" si="1"/>
        <v>0.24480132253718107</v>
      </c>
    </row>
    <row r="46" spans="1:15" ht="15.75" customHeight="1">
      <c r="A46" s="1" t="s">
        <v>14</v>
      </c>
      <c r="B46" s="3"/>
      <c r="C46" s="3">
        <v>2013</v>
      </c>
      <c r="D46" s="3" t="str">
        <f>CONCATENATE(Data!$C46,Data!$B46)</f>
        <v>2013</v>
      </c>
      <c r="E46" s="57">
        <v>208792162</v>
      </c>
      <c r="F46" s="57">
        <v>74888459</v>
      </c>
      <c r="G46" s="57">
        <v>33439350</v>
      </c>
      <c r="H46" s="57">
        <v>292972506</v>
      </c>
      <c r="I46" s="57">
        <v>292972506</v>
      </c>
      <c r="J46" s="57">
        <v>260539087</v>
      </c>
      <c r="K46" s="57">
        <v>26042300</v>
      </c>
      <c r="L46" s="56">
        <v>6391119</v>
      </c>
      <c r="M46" s="57">
        <v>7495948</v>
      </c>
      <c r="N46" s="2">
        <f t="shared" si="0"/>
        <v>0.8892953491000961</v>
      </c>
      <c r="O46" s="4">
        <f t="shared" si="1"/>
        <v>0.08888991105533978</v>
      </c>
    </row>
    <row r="47" spans="1:15" ht="15.75" customHeight="1">
      <c r="A47" s="1" t="s">
        <v>19</v>
      </c>
      <c r="B47" s="3"/>
      <c r="C47" s="3">
        <v>2013</v>
      </c>
      <c r="D47" s="3" t="str">
        <f>CONCATENATE(Data!$C47,Data!$B47)</f>
        <v>2013</v>
      </c>
      <c r="E47" s="57">
        <v>18496106</v>
      </c>
      <c r="F47" s="57">
        <v>6774818</v>
      </c>
      <c r="G47" s="57">
        <v>0</v>
      </c>
      <c r="H47" s="57">
        <v>0</v>
      </c>
      <c r="I47" s="57">
        <v>0</v>
      </c>
      <c r="J47" s="57">
        <v>0</v>
      </c>
      <c r="K47" s="57">
        <v>5876219</v>
      </c>
      <c r="L47" s="56">
        <v>-9484219</v>
      </c>
      <c r="M47" s="57">
        <v>-9396145</v>
      </c>
      <c r="N47" s="2" t="str">
        <f t="shared" si="0"/>
        <v>N/A</v>
      </c>
      <c r="O47" s="4" t="str">
        <f t="shared" si="1"/>
        <v>N/A</v>
      </c>
    </row>
    <row r="48" spans="1:15" ht="15.75" customHeight="1">
      <c r="A48" s="1" t="s">
        <v>15</v>
      </c>
      <c r="B48" s="3"/>
      <c r="C48" s="3">
        <v>2013</v>
      </c>
      <c r="D48" s="3" t="str">
        <f>CONCATENATE(Data!$C48,Data!$B48)</f>
        <v>2013</v>
      </c>
      <c r="E48" s="57">
        <v>230087482</v>
      </c>
      <c r="F48" s="57">
        <v>151293739</v>
      </c>
      <c r="G48" s="57">
        <v>64020557</v>
      </c>
      <c r="H48" s="57">
        <v>722225030</v>
      </c>
      <c r="I48" s="57">
        <v>724143059</v>
      </c>
      <c r="J48" s="57">
        <v>626659696</v>
      </c>
      <c r="K48" s="57">
        <v>97927342</v>
      </c>
      <c r="L48" s="56">
        <v>-443978</v>
      </c>
      <c r="M48" s="57">
        <v>14706783</v>
      </c>
      <c r="N48" s="2">
        <f t="shared" si="0"/>
        <v>0.867679282729927</v>
      </c>
      <c r="O48" s="4">
        <f t="shared" si="1"/>
        <v>0.13559117717091582</v>
      </c>
    </row>
    <row r="49" spans="1:15" ht="15.75" customHeight="1">
      <c r="A49" s="1" t="s">
        <v>16</v>
      </c>
      <c r="B49" s="3"/>
      <c r="C49" s="3">
        <v>2013</v>
      </c>
      <c r="D49" s="3" t="str">
        <f>CONCATENATE(Data!$C49,Data!$B49)</f>
        <v>2013</v>
      </c>
      <c r="E49" s="57">
        <v>692937767</v>
      </c>
      <c r="F49" s="57">
        <v>506844677</v>
      </c>
      <c r="G49" s="57">
        <v>91751294</v>
      </c>
      <c r="H49" s="57">
        <v>1076191333</v>
      </c>
      <c r="I49" s="57">
        <v>1076191333</v>
      </c>
      <c r="J49" s="57">
        <v>950285646</v>
      </c>
      <c r="K49" s="57">
        <v>90600110</v>
      </c>
      <c r="L49" s="56">
        <v>27905956</v>
      </c>
      <c r="M49" s="57">
        <v>47206004</v>
      </c>
      <c r="N49" s="2">
        <f t="shared" si="0"/>
        <v>0.8830080830989187</v>
      </c>
      <c r="O49" s="4">
        <f t="shared" si="1"/>
        <v>0.08418587589573163</v>
      </c>
    </row>
    <row r="50" spans="1:15" ht="15.75" customHeight="1">
      <c r="A50" s="1" t="s">
        <v>17</v>
      </c>
      <c r="B50" s="3"/>
      <c r="C50" s="3">
        <v>2013</v>
      </c>
      <c r="D50" s="3" t="str">
        <f>CONCATENATE(Data!$C50,Data!$B50)</f>
        <v>2013</v>
      </c>
      <c r="E50" s="57">
        <v>1008235016</v>
      </c>
      <c r="F50" s="57">
        <v>627309807</v>
      </c>
      <c r="G50" s="57">
        <v>192273361</v>
      </c>
      <c r="H50" s="57">
        <v>1891155543</v>
      </c>
      <c r="I50" s="57">
        <v>1891155543</v>
      </c>
      <c r="J50" s="57">
        <v>1634003941</v>
      </c>
      <c r="K50" s="57">
        <v>264807507</v>
      </c>
      <c r="L50" s="56">
        <v>95725661</v>
      </c>
      <c r="M50" s="57">
        <v>17947524</v>
      </c>
      <c r="N50" s="2">
        <f t="shared" si="0"/>
        <v>0.8640240867802591</v>
      </c>
      <c r="O50" s="4">
        <f t="shared" si="1"/>
        <v>0.14002418150118284</v>
      </c>
    </row>
    <row r="51" spans="1:15" ht="15.75" customHeight="1">
      <c r="A51" s="1" t="s">
        <v>20</v>
      </c>
      <c r="B51" s="3"/>
      <c r="C51" s="3">
        <v>2013</v>
      </c>
      <c r="D51" s="3" t="str">
        <f>CONCATENATE(Data!$C51,Data!$B51)</f>
        <v>2013</v>
      </c>
      <c r="E51" s="57">
        <v>16628351</v>
      </c>
      <c r="F51" s="57">
        <v>8030294</v>
      </c>
      <c r="G51" s="57">
        <v>7133807</v>
      </c>
      <c r="H51" s="57">
        <v>55427413</v>
      </c>
      <c r="I51" s="57">
        <v>55427413</v>
      </c>
      <c r="J51" s="57">
        <v>49750188</v>
      </c>
      <c r="K51" s="57">
        <v>6713187</v>
      </c>
      <c r="L51" s="56">
        <v>-1035964</v>
      </c>
      <c r="M51" s="57">
        <v>-514421</v>
      </c>
      <c r="N51" s="2">
        <f t="shared" si="0"/>
        <v>0.8975736969719298</v>
      </c>
      <c r="O51" s="4">
        <f t="shared" si="1"/>
        <v>0.12111672973082832</v>
      </c>
    </row>
    <row r="52" spans="1:15" ht="15.75" customHeight="1">
      <c r="A52" s="1" t="s">
        <v>21</v>
      </c>
      <c r="B52" s="3"/>
      <c r="C52" s="3">
        <v>2013</v>
      </c>
      <c r="D52" s="3" t="str">
        <f>CONCATENATE(Data!$C52,Data!$B52)</f>
        <v>2013</v>
      </c>
      <c r="E52" s="57">
        <v>62512342</v>
      </c>
      <c r="F52" s="57">
        <v>20873465</v>
      </c>
      <c r="G52" s="57">
        <v>31240100</v>
      </c>
      <c r="H52" s="57">
        <v>244500594</v>
      </c>
      <c r="I52" s="57">
        <v>244500594</v>
      </c>
      <c r="J52" s="57">
        <v>210438088</v>
      </c>
      <c r="K52" s="57">
        <v>27954740</v>
      </c>
      <c r="L52" s="56">
        <v>6107767</v>
      </c>
      <c r="M52" s="57">
        <v>3932181</v>
      </c>
      <c r="N52" s="2">
        <f t="shared" si="0"/>
        <v>0.8606853854923558</v>
      </c>
      <c r="O52" s="4">
        <f t="shared" si="1"/>
        <v>0.11433403715984428</v>
      </c>
    </row>
    <row r="53" spans="1:15" ht="15.75" customHeight="1">
      <c r="A53" s="1" t="s">
        <v>18</v>
      </c>
      <c r="B53" s="3"/>
      <c r="C53" s="3">
        <v>2014</v>
      </c>
      <c r="D53" s="3" t="str">
        <f>CONCATENATE(Data!$C53,Data!$B53)</f>
        <v>2014</v>
      </c>
      <c r="E53" s="57">
        <v>40332291</v>
      </c>
      <c r="F53" s="57">
        <v>23351536</v>
      </c>
      <c r="G53" s="57">
        <f>11474323+27530</f>
        <v>11501853</v>
      </c>
      <c r="H53" s="57">
        <v>159839987</v>
      </c>
      <c r="I53" s="57">
        <v>159839987</v>
      </c>
      <c r="J53" s="57">
        <v>134590609</v>
      </c>
      <c r="K53" s="57">
        <f>4735918+15890534</f>
        <v>20626452</v>
      </c>
      <c r="L53" s="56">
        <v>4622926</v>
      </c>
      <c r="M53" s="57">
        <v>2540047</v>
      </c>
      <c r="N53" s="2">
        <f t="shared" si="0"/>
        <v>0.8420334080732877</v>
      </c>
      <c r="O53" s="4">
        <f t="shared" si="1"/>
        <v>0.1290443798647206</v>
      </c>
    </row>
    <row r="54" spans="1:15" ht="15.75" customHeight="1">
      <c r="A54" s="1" t="s">
        <v>11</v>
      </c>
      <c r="B54" s="3"/>
      <c r="C54" s="3">
        <v>2014</v>
      </c>
      <c r="D54" s="3" t="str">
        <f>CONCATENATE(Data!$C54,Data!$B54)</f>
        <v>2014</v>
      </c>
      <c r="E54" s="57">
        <v>131596286</v>
      </c>
      <c r="F54" s="57">
        <v>55747288</v>
      </c>
      <c r="G54" s="57">
        <v>32377303</v>
      </c>
      <c r="H54" s="57">
        <v>327373793</v>
      </c>
      <c r="I54" s="57">
        <v>327884445</v>
      </c>
      <c r="J54" s="57">
        <v>293709002</v>
      </c>
      <c r="K54" s="57">
        <f>12584684+45142741</f>
        <v>57727425</v>
      </c>
      <c r="L54" s="56">
        <v>-52764637</v>
      </c>
      <c r="M54" s="57">
        <v>-43820219</v>
      </c>
      <c r="N54" s="2">
        <f t="shared" si="0"/>
        <v>0.8971671168559299</v>
      </c>
      <c r="O54" s="4">
        <f t="shared" si="1"/>
        <v>0.1763348998433726</v>
      </c>
    </row>
    <row r="55" spans="1:15" ht="15.75" customHeight="1">
      <c r="A55" s="1" t="s">
        <v>12</v>
      </c>
      <c r="B55" s="3"/>
      <c r="C55" s="3">
        <v>2014</v>
      </c>
      <c r="D55" s="3" t="str">
        <f>CONCATENATE(Data!$C55,Data!$B55)</f>
        <v>2014</v>
      </c>
      <c r="E55" s="57">
        <v>1300833164</v>
      </c>
      <c r="F55" s="57">
        <v>203154414</v>
      </c>
      <c r="G55" s="57">
        <v>51641789</v>
      </c>
      <c r="H55" s="57">
        <v>2993160516</v>
      </c>
      <c r="I55" s="57">
        <v>3137567702</v>
      </c>
      <c r="J55" s="57">
        <v>2894862158</v>
      </c>
      <c r="K55" s="57">
        <f>49472744+228802113</f>
        <v>278274857</v>
      </c>
      <c r="L55" s="56">
        <v>-35569313</v>
      </c>
      <c r="M55" s="57">
        <v>-15594565</v>
      </c>
      <c r="N55" s="2">
        <f t="shared" si="0"/>
        <v>0.9671590088555077</v>
      </c>
      <c r="O55" s="4">
        <f t="shared" si="1"/>
        <v>0.09297024182715098</v>
      </c>
    </row>
    <row r="56" spans="1:15" ht="15.75" customHeight="1">
      <c r="A56" s="1" t="s">
        <v>13</v>
      </c>
      <c r="B56" s="3"/>
      <c r="C56" s="3">
        <v>2014</v>
      </c>
      <c r="D56" s="3" t="str">
        <f>CONCATENATE(Data!$C56,Data!$B56)</f>
        <v>2014</v>
      </c>
      <c r="E56" s="57">
        <v>93693961</v>
      </c>
      <c r="F56" s="57">
        <v>40755951</v>
      </c>
      <c r="G56" s="57">
        <v>21703262</v>
      </c>
      <c r="H56" s="57">
        <v>150201077</v>
      </c>
      <c r="I56" s="57">
        <v>150324280</v>
      </c>
      <c r="J56" s="57">
        <v>133440946</v>
      </c>
      <c r="K56" s="57">
        <f>14872321+26667791</f>
        <v>41540112</v>
      </c>
      <c r="L56" s="56">
        <v>-34455240</v>
      </c>
      <c r="M56" s="57">
        <v>-24278577</v>
      </c>
      <c r="N56" s="2">
        <f t="shared" si="0"/>
        <v>0.8884153740122649</v>
      </c>
      <c r="O56" s="4">
        <f t="shared" si="1"/>
        <v>0.27656334315099484</v>
      </c>
    </row>
    <row r="57" spans="1:15" ht="15.75" customHeight="1">
      <c r="A57" s="1" t="s">
        <v>14</v>
      </c>
      <c r="B57" s="3"/>
      <c r="C57" s="3">
        <v>2014</v>
      </c>
      <c r="D57" s="3" t="str">
        <f>CONCATENATE(Data!$C57,Data!$B57)</f>
        <v>2014</v>
      </c>
      <c r="E57" s="57">
        <v>353847582</v>
      </c>
      <c r="F57" s="57">
        <v>122054584</v>
      </c>
      <c r="G57" s="57">
        <v>88252975</v>
      </c>
      <c r="H57" s="57">
        <v>749508692</v>
      </c>
      <c r="I57" s="57">
        <v>749517784</v>
      </c>
      <c r="J57" s="57">
        <v>695956469</v>
      </c>
      <c r="K57" s="57">
        <f>26818413+36538359</f>
        <v>63356772</v>
      </c>
      <c r="L57" s="56">
        <v>-9795457</v>
      </c>
      <c r="M57" s="57">
        <v>-4350830</v>
      </c>
      <c r="N57" s="2">
        <f t="shared" si="0"/>
        <v>0.9285502308757748</v>
      </c>
      <c r="O57" s="4">
        <f t="shared" si="1"/>
        <v>0.0845310703881737</v>
      </c>
    </row>
    <row r="58" spans="1:15" ht="15.75" customHeight="1">
      <c r="A58" s="1" t="s">
        <v>19</v>
      </c>
      <c r="B58" s="3"/>
      <c r="C58" s="3">
        <v>2014</v>
      </c>
      <c r="D58" s="3" t="str">
        <f>CONCATENATE(Data!$C58,Data!$B58)</f>
        <v>2014</v>
      </c>
      <c r="E58" s="57">
        <v>18223970</v>
      </c>
      <c r="F58" s="57">
        <v>4358080</v>
      </c>
      <c r="G58" s="57">
        <f>1162623+37060</f>
        <v>1199683</v>
      </c>
      <c r="H58" s="57">
        <v>3795760</v>
      </c>
      <c r="I58" s="57">
        <v>4280560</v>
      </c>
      <c r="J58" s="57">
        <v>5959679</v>
      </c>
      <c r="K58" s="57">
        <f>167872+6386825</f>
        <v>6554697</v>
      </c>
      <c r="L58" s="56">
        <v>-6992815</v>
      </c>
      <c r="M58" s="57">
        <v>-6781274</v>
      </c>
      <c r="N58" s="2">
        <f t="shared" si="0"/>
        <v>1.570088467131747</v>
      </c>
      <c r="O58" s="4">
        <f t="shared" si="1"/>
        <v>1.7268470609311442</v>
      </c>
    </row>
    <row r="59" spans="1:15" ht="15.75" customHeight="1">
      <c r="A59" s="1" t="s">
        <v>15</v>
      </c>
      <c r="B59" s="3"/>
      <c r="C59" s="3">
        <v>2014</v>
      </c>
      <c r="D59" s="3" t="str">
        <f>CONCATENATE(Data!$C59,Data!$B59)</f>
        <v>2014</v>
      </c>
      <c r="E59" s="57">
        <v>235079926</v>
      </c>
      <c r="F59" s="57">
        <v>148158001</v>
      </c>
      <c r="G59" s="57">
        <v>51992265</v>
      </c>
      <c r="H59" s="57">
        <v>611670837</v>
      </c>
      <c r="I59" s="57">
        <v>610570963</v>
      </c>
      <c r="J59" s="57">
        <v>528139732</v>
      </c>
      <c r="K59" s="57">
        <f>21294379+78668639</f>
        <v>99963018</v>
      </c>
      <c r="L59" s="56">
        <v>-22491787</v>
      </c>
      <c r="M59" s="57">
        <v>-16852392</v>
      </c>
      <c r="N59" s="2">
        <f t="shared" si="0"/>
        <v>0.8634378166373167</v>
      </c>
      <c r="O59" s="4">
        <f t="shared" si="1"/>
        <v>0.16342616314728767</v>
      </c>
    </row>
    <row r="60" spans="1:15" ht="15.75" customHeight="1">
      <c r="A60" s="1" t="s">
        <v>16</v>
      </c>
      <c r="B60" s="3"/>
      <c r="C60" s="3">
        <v>2014</v>
      </c>
      <c r="D60" s="3" t="str">
        <f>CONCATENATE(Data!$C60,Data!$B60)</f>
        <v>2014</v>
      </c>
      <c r="E60" s="57">
        <v>762123640</v>
      </c>
      <c r="F60" s="57">
        <v>530393114</v>
      </c>
      <c r="G60" s="57">
        <v>93299853</v>
      </c>
      <c r="H60" s="57">
        <v>1102061344</v>
      </c>
      <c r="I60" s="57">
        <v>1102061344</v>
      </c>
      <c r="J60" s="57">
        <v>980616729</v>
      </c>
      <c r="K60" s="57">
        <f>35201358+76954244</f>
        <v>112155602</v>
      </c>
      <c r="L60" s="56">
        <v>7138711</v>
      </c>
      <c r="M60" s="57">
        <v>22335349</v>
      </c>
      <c r="N60" s="2">
        <f t="shared" si="0"/>
        <v>0.8898023094075606</v>
      </c>
      <c r="O60" s="4">
        <f t="shared" si="1"/>
        <v>0.10176892839097712</v>
      </c>
    </row>
    <row r="61" spans="1:15" ht="15.75" customHeight="1">
      <c r="A61" s="1" t="s">
        <v>17</v>
      </c>
      <c r="B61" s="3"/>
      <c r="C61" s="3">
        <v>2014</v>
      </c>
      <c r="D61" s="3" t="str">
        <f>CONCATENATE(Data!$C61,Data!$B61)</f>
        <v>2014</v>
      </c>
      <c r="E61" s="57">
        <v>1039743203</v>
      </c>
      <c r="F61" s="57">
        <v>635259622</v>
      </c>
      <c r="G61" s="57">
        <v>204560469</v>
      </c>
      <c r="H61" s="57">
        <v>1857755451</v>
      </c>
      <c r="I61" s="57">
        <v>1871432064</v>
      </c>
      <c r="J61" s="57">
        <v>1618077167</v>
      </c>
      <c r="K61" s="57">
        <f>125611005+160659275</f>
        <v>286270280</v>
      </c>
      <c r="L61" s="56">
        <v>-32915383</v>
      </c>
      <c r="M61" s="57">
        <v>35876103</v>
      </c>
      <c r="N61" s="2">
        <f t="shared" si="0"/>
        <v>0.8709850191148759</v>
      </c>
      <c r="O61" s="4">
        <f t="shared" si="1"/>
        <v>0.15409470597753072</v>
      </c>
    </row>
    <row r="62" spans="1:15" ht="15.75" customHeight="1">
      <c r="A62" s="1" t="s">
        <v>20</v>
      </c>
      <c r="B62" s="3"/>
      <c r="C62" s="3">
        <v>2014</v>
      </c>
      <c r="D62" s="3" t="str">
        <f>CONCATENATE(Data!$C62,Data!$B62)</f>
        <v>2014</v>
      </c>
      <c r="E62" s="57">
        <v>19050075</v>
      </c>
      <c r="F62" s="57">
        <v>9146434</v>
      </c>
      <c r="G62" s="57">
        <f>7514361+119433</f>
        <v>7633794</v>
      </c>
      <c r="H62" s="57">
        <v>53020185</v>
      </c>
      <c r="I62" s="57">
        <v>57816108</v>
      </c>
      <c r="J62" s="57">
        <v>49841948</v>
      </c>
      <c r="K62" s="57">
        <f>2739247+4363369</f>
        <v>7102616</v>
      </c>
      <c r="L62" s="56">
        <v>871544</v>
      </c>
      <c r="M62" s="57">
        <v>809565</v>
      </c>
      <c r="N62" s="2">
        <f t="shared" si="0"/>
        <v>0.940056093731095</v>
      </c>
      <c r="O62" s="4">
        <f t="shared" si="1"/>
        <v>0.13396060387190276</v>
      </c>
    </row>
    <row r="63" spans="1:15" ht="15.75" customHeight="1">
      <c r="A63" s="1" t="s">
        <v>21</v>
      </c>
      <c r="B63" s="3"/>
      <c r="C63" s="3">
        <v>2014</v>
      </c>
      <c r="D63" s="3" t="str">
        <f>CONCATENATE(Data!$C63,Data!$B63)</f>
        <v>2014</v>
      </c>
      <c r="E63" s="57">
        <v>118838842</v>
      </c>
      <c r="F63" s="57">
        <v>43454699</v>
      </c>
      <c r="G63" s="57">
        <f>47748800+1038600</f>
        <v>48787400</v>
      </c>
      <c r="H63" s="57">
        <v>400457788</v>
      </c>
      <c r="I63" s="57">
        <v>407528920</v>
      </c>
      <c r="J63" s="57">
        <v>319661569</v>
      </c>
      <c r="K63" s="57">
        <f>32461976+19380033</f>
        <v>51842009</v>
      </c>
      <c r="L63" s="56">
        <v>36025342</v>
      </c>
      <c r="M63" s="57">
        <v>22199795</v>
      </c>
      <c r="N63" s="2">
        <f t="shared" si="0"/>
        <v>0.7982403603547847</v>
      </c>
      <c r="O63" s="4">
        <f t="shared" si="1"/>
        <v>0.1294568630039978</v>
      </c>
    </row>
    <row r="64" spans="1:15" ht="15.75" customHeight="1">
      <c r="A64" s="1" t="s">
        <v>36</v>
      </c>
      <c r="B64" s="3"/>
      <c r="C64" s="3">
        <v>2014</v>
      </c>
      <c r="D64" s="3" t="str">
        <f>CONCATENATE(Data!$C64,Data!$B64)</f>
        <v>2014</v>
      </c>
      <c r="E64" s="57">
        <v>3199699</v>
      </c>
      <c r="F64" s="57">
        <v>2654950</v>
      </c>
      <c r="G64" s="57">
        <v>0</v>
      </c>
      <c r="H64" s="57">
        <v>0</v>
      </c>
      <c r="I64" s="57">
        <v>0</v>
      </c>
      <c r="J64" s="57">
        <v>0</v>
      </c>
      <c r="K64" s="57">
        <v>746947</v>
      </c>
      <c r="L64" s="56">
        <v>-746947</v>
      </c>
      <c r="M64" s="57">
        <v>-745680</v>
      </c>
      <c r="N64" s="2" t="str">
        <f t="shared" si="0"/>
        <v>N/A</v>
      </c>
      <c r="O64" s="4" t="str">
        <f t="shared" si="1"/>
        <v>N/A</v>
      </c>
    </row>
    <row r="65" spans="1:15" ht="15.75" customHeight="1">
      <c r="A65" s="1" t="s">
        <v>18</v>
      </c>
      <c r="B65" s="3" t="s">
        <v>49</v>
      </c>
      <c r="C65" s="3">
        <v>2015</v>
      </c>
      <c r="D65" s="3" t="str">
        <f>CONCATENATE(Data!$C65,Data!$B65)</f>
        <v>2015-Q1</v>
      </c>
      <c r="E65" s="57">
        <v>43771964</v>
      </c>
      <c r="F65" s="57">
        <v>21800203</v>
      </c>
      <c r="G65" s="57">
        <f>12905074+27530</f>
        <v>12932604</v>
      </c>
      <c r="H65" s="57">
        <v>43603465</v>
      </c>
      <c r="I65" s="57">
        <v>43603465</v>
      </c>
      <c r="J65" s="57">
        <v>36605736</v>
      </c>
      <c r="K65" s="57">
        <f>1281547+6444998</f>
        <v>7726545</v>
      </c>
      <c r="L65" s="56">
        <v>-728816</v>
      </c>
      <c r="M65" s="57">
        <v>-1378521</v>
      </c>
      <c r="N65" s="2">
        <f t="shared" si="0"/>
        <v>0.8395143826299125</v>
      </c>
      <c r="O65" s="4">
        <f t="shared" si="1"/>
        <v>0.1772002523193971</v>
      </c>
    </row>
    <row r="66" spans="1:15" ht="15.75" customHeight="1">
      <c r="A66" s="1" t="s">
        <v>11</v>
      </c>
      <c r="B66" s="3" t="s">
        <v>49</v>
      </c>
      <c r="C66" s="3">
        <v>2015</v>
      </c>
      <c r="D66" s="3" t="str">
        <f>CONCATENATE(Data!$C66,Data!$B66)</f>
        <v>2015-Q1</v>
      </c>
      <c r="E66" s="57">
        <v>129852874</v>
      </c>
      <c r="F66" s="57">
        <v>44659851</v>
      </c>
      <c r="G66" s="57">
        <f>39119836+2020538</f>
        <v>41140374</v>
      </c>
      <c r="H66" s="57">
        <f>103774702-16988</f>
        <v>103757714</v>
      </c>
      <c r="I66" s="57">
        <v>103757714</v>
      </c>
      <c r="J66" s="57">
        <v>94176584</v>
      </c>
      <c r="K66" s="57">
        <f>4284961+16988433</f>
        <v>21273394</v>
      </c>
      <c r="L66" s="56">
        <v>-6812037</v>
      </c>
      <c r="M66" s="57">
        <v>-4528474</v>
      </c>
      <c r="N66" s="2">
        <f aca="true" t="shared" si="2" ref="N66:N129">_xlfn.IFERROR(SUM(J66/H66),"N/A")</f>
        <v>0.9076586247842738</v>
      </c>
      <c r="O66" s="4">
        <f aca="true" t="shared" si="3" ref="O66:O129">_xlfn.IFERROR(SUM(K66/H66),"N/A")</f>
        <v>0.2050295171306492</v>
      </c>
    </row>
    <row r="67" spans="1:15" ht="15.75" customHeight="1">
      <c r="A67" s="1" t="s">
        <v>12</v>
      </c>
      <c r="B67" s="3" t="s">
        <v>49</v>
      </c>
      <c r="C67" s="3">
        <v>2015</v>
      </c>
      <c r="D67" s="3" t="str">
        <f>CONCATENATE(Data!$C67,Data!$B67)</f>
        <v>2015-Q1</v>
      </c>
      <c r="E67" s="57">
        <v>1367367769</v>
      </c>
      <c r="F67" s="57">
        <v>238559507</v>
      </c>
      <c r="G67" s="57">
        <f>29843338+1194769</f>
        <v>31038107</v>
      </c>
      <c r="H67" s="57">
        <f>782842785</f>
        <v>782842785</v>
      </c>
      <c r="I67" s="57">
        <v>827750850</v>
      </c>
      <c r="J67" s="57">
        <v>762420784</v>
      </c>
      <c r="K67" s="57">
        <f>13565789+76773086</f>
        <v>90338875</v>
      </c>
      <c r="L67" s="56">
        <v>-25008809</v>
      </c>
      <c r="M67" s="57">
        <v>-21348011</v>
      </c>
      <c r="N67" s="2">
        <f t="shared" si="2"/>
        <v>0.973913023928553</v>
      </c>
      <c r="O67" s="4">
        <f t="shared" si="3"/>
        <v>0.11539848962138675</v>
      </c>
    </row>
    <row r="68" spans="1:15" ht="15.75" customHeight="1">
      <c r="A68" s="1" t="s">
        <v>13</v>
      </c>
      <c r="B68" s="3" t="s">
        <v>49</v>
      </c>
      <c r="C68" s="3">
        <v>2015</v>
      </c>
      <c r="D68" s="3" t="str">
        <f>CONCATENATE(Data!$C68,Data!$B68)</f>
        <v>2015-Q1</v>
      </c>
      <c r="E68" s="57">
        <v>102575806</v>
      </c>
      <c r="F68" s="57">
        <v>32432981</v>
      </c>
      <c r="G68" s="57">
        <f>35991559+1111990</f>
        <v>37103549</v>
      </c>
      <c r="H68" s="57">
        <v>55691187</v>
      </c>
      <c r="I68" s="57">
        <v>55691187</v>
      </c>
      <c r="J68" s="57">
        <v>55125043</v>
      </c>
      <c r="K68" s="57">
        <f>4171536+9884945</f>
        <v>14056481</v>
      </c>
      <c r="L68" s="56">
        <v>-11706507</v>
      </c>
      <c r="M68" s="57">
        <v>-8326517</v>
      </c>
      <c r="N68" s="2">
        <f t="shared" si="2"/>
        <v>0.989834226374094</v>
      </c>
      <c r="O68" s="4">
        <f t="shared" si="3"/>
        <v>0.25240045610807327</v>
      </c>
    </row>
    <row r="69" spans="1:15" ht="15.75" customHeight="1">
      <c r="A69" s="1" t="s">
        <v>14</v>
      </c>
      <c r="B69" s="3" t="s">
        <v>49</v>
      </c>
      <c r="C69" s="3">
        <v>2015</v>
      </c>
      <c r="D69" s="3" t="str">
        <f>CONCATENATE(Data!$C69,Data!$B69)</f>
        <v>2015-Q1</v>
      </c>
      <c r="E69" s="57">
        <v>397955825</v>
      </c>
      <c r="F69" s="57">
        <v>93070475</v>
      </c>
      <c r="G69" s="57">
        <f>119170608+6725450</f>
        <v>125896058</v>
      </c>
      <c r="H69" s="57">
        <v>255478230</v>
      </c>
      <c r="I69" s="57">
        <v>255478230</v>
      </c>
      <c r="J69" s="57">
        <v>235590157</v>
      </c>
      <c r="K69" s="57">
        <f>5424396+41436087</f>
        <v>46860483</v>
      </c>
      <c r="L69" s="56">
        <v>-26972410</v>
      </c>
      <c r="M69" s="57">
        <v>-27660384</v>
      </c>
      <c r="N69" s="2">
        <f t="shared" si="2"/>
        <v>0.9221535510090233</v>
      </c>
      <c r="O69" s="4">
        <f t="shared" si="3"/>
        <v>0.18342260708476021</v>
      </c>
    </row>
    <row r="70" spans="1:15" ht="15.75" customHeight="1">
      <c r="A70" s="1" t="s">
        <v>19</v>
      </c>
      <c r="B70" s="3" t="s">
        <v>49</v>
      </c>
      <c r="C70" s="3">
        <v>2015</v>
      </c>
      <c r="D70" s="3" t="str">
        <f>CONCATENATE(Data!$C70,Data!$B70)</f>
        <v>2015-Q1</v>
      </c>
      <c r="E70" s="57">
        <v>24526590</v>
      </c>
      <c r="F70" s="57">
        <v>4470826</v>
      </c>
      <c r="G70" s="57">
        <f>7868581+259513</f>
        <v>8128094</v>
      </c>
      <c r="H70" s="57">
        <v>10288106</v>
      </c>
      <c r="I70" s="57">
        <v>10288106</v>
      </c>
      <c r="J70" s="57">
        <v>9961168</v>
      </c>
      <c r="K70" s="57">
        <f>1355792+2625173</f>
        <v>3980965</v>
      </c>
      <c r="L70" s="56">
        <v>-1730436</v>
      </c>
      <c r="M70" s="57">
        <v>-1669040</v>
      </c>
      <c r="N70" s="2">
        <f t="shared" si="2"/>
        <v>0.9682217504368636</v>
      </c>
      <c r="O70" s="4">
        <f t="shared" si="3"/>
        <v>0.3869482876634436</v>
      </c>
    </row>
    <row r="71" spans="1:15" ht="15.75" customHeight="1">
      <c r="A71" s="1" t="s">
        <v>15</v>
      </c>
      <c r="B71" s="3" t="s">
        <v>49</v>
      </c>
      <c r="C71" s="3">
        <v>2015</v>
      </c>
      <c r="D71" s="3" t="str">
        <f>CONCATENATE(Data!$C71,Data!$B71)</f>
        <v>2015-Q1</v>
      </c>
      <c r="E71" s="57">
        <v>245349213</v>
      </c>
      <c r="F71" s="57">
        <v>146248043</v>
      </c>
      <c r="G71" s="57">
        <f>47613577+1362472</f>
        <v>48976049</v>
      </c>
      <c r="H71" s="57">
        <v>140282244</v>
      </c>
      <c r="I71" s="57">
        <v>140282244</v>
      </c>
      <c r="J71" s="57">
        <v>112886856</v>
      </c>
      <c r="K71" s="57">
        <f>3287857+28570198</f>
        <v>31858055</v>
      </c>
      <c r="L71" s="56">
        <v>-3222667</v>
      </c>
      <c r="M71" s="57">
        <v>-7092322</v>
      </c>
      <c r="N71" s="2">
        <f t="shared" si="2"/>
        <v>0.8047123625995033</v>
      </c>
      <c r="O71" s="4">
        <f t="shared" si="3"/>
        <v>0.22709969623810694</v>
      </c>
    </row>
    <row r="72" spans="1:15" ht="15.75" customHeight="1">
      <c r="A72" s="1" t="s">
        <v>16</v>
      </c>
      <c r="B72" s="3" t="s">
        <v>49</v>
      </c>
      <c r="C72" s="3">
        <v>2015</v>
      </c>
      <c r="D72" s="3" t="str">
        <f>CONCATENATE(Data!$C72,Data!$B72)</f>
        <v>2015-Q1</v>
      </c>
      <c r="E72" s="57">
        <v>827268646</v>
      </c>
      <c r="F72" s="57">
        <v>528789418</v>
      </c>
      <c r="G72" s="57">
        <f>100119587+2568464</f>
        <v>102688051</v>
      </c>
      <c r="H72" s="57">
        <v>290246482</v>
      </c>
      <c r="I72" s="57">
        <v>290246482</v>
      </c>
      <c r="J72" s="57">
        <v>259277991</v>
      </c>
      <c r="K72" s="57">
        <f>11891210+25997740</f>
        <v>37888950</v>
      </c>
      <c r="L72" s="56">
        <v>-7005615</v>
      </c>
      <c r="M72" s="57">
        <v>274935</v>
      </c>
      <c r="N72" s="2">
        <f t="shared" si="2"/>
        <v>0.8933027860093063</v>
      </c>
      <c r="O72" s="4">
        <f t="shared" si="3"/>
        <v>0.13054060031638903</v>
      </c>
    </row>
    <row r="73" spans="1:15" ht="15.75" customHeight="1">
      <c r="A73" s="1" t="s">
        <v>17</v>
      </c>
      <c r="B73" s="3" t="s">
        <v>49</v>
      </c>
      <c r="C73" s="3">
        <v>2015</v>
      </c>
      <c r="D73" s="3" t="str">
        <f>CONCATENATE(Data!$C73,Data!$B73)</f>
        <v>2015-Q1</v>
      </c>
      <c r="E73" s="57">
        <v>1030781123</v>
      </c>
      <c r="F73" s="57">
        <v>617809502</v>
      </c>
      <c r="G73" s="57">
        <f>188385392+8309918</f>
        <v>196695310</v>
      </c>
      <c r="H73" s="57">
        <v>463336057</v>
      </c>
      <c r="I73" s="57">
        <v>463336057</v>
      </c>
      <c r="J73" s="57">
        <v>390625580</v>
      </c>
      <c r="K73" s="57">
        <f>35283036+60302378</f>
        <v>95585414</v>
      </c>
      <c r="L73" s="56">
        <v>-22874937</v>
      </c>
      <c r="M73" s="57">
        <v>-14458066</v>
      </c>
      <c r="N73" s="2">
        <f t="shared" si="2"/>
        <v>0.8430718354388724</v>
      </c>
      <c r="O73" s="4">
        <f t="shared" si="3"/>
        <v>0.20629824196911142</v>
      </c>
    </row>
    <row r="74" spans="1:15" ht="15.75" customHeight="1">
      <c r="A74" s="1" t="s">
        <v>20</v>
      </c>
      <c r="B74" s="3" t="s">
        <v>49</v>
      </c>
      <c r="C74" s="3">
        <v>2015</v>
      </c>
      <c r="D74" s="3" t="str">
        <f>CONCATENATE(Data!$C74,Data!$B74)</f>
        <v>2015-Q1</v>
      </c>
      <c r="E74" s="57">
        <v>16439056</v>
      </c>
      <c r="F74" s="57">
        <v>8901526</v>
      </c>
      <c r="G74" s="57">
        <f>6771006+111475</f>
        <v>6882481</v>
      </c>
      <c r="H74" s="57">
        <v>12939321</v>
      </c>
      <c r="I74" s="57">
        <v>13833425</v>
      </c>
      <c r="J74" s="57">
        <v>12226181</v>
      </c>
      <c r="K74" s="57">
        <f>726356+1196228</f>
        <v>1922584</v>
      </c>
      <c r="L74" s="56">
        <v>-315340</v>
      </c>
      <c r="M74" s="57">
        <v>-208138</v>
      </c>
      <c r="N74" s="2">
        <f t="shared" si="2"/>
        <v>0.9448858251526491</v>
      </c>
      <c r="O74" s="4">
        <f t="shared" si="3"/>
        <v>0.14858461274745405</v>
      </c>
    </row>
    <row r="75" spans="1:15" ht="15.75" customHeight="1">
      <c r="A75" s="1" t="s">
        <v>21</v>
      </c>
      <c r="B75" s="3" t="s">
        <v>49</v>
      </c>
      <c r="C75" s="3">
        <v>2015</v>
      </c>
      <c r="D75" s="3" t="str">
        <f>CONCATENATE(Data!$C75,Data!$B75)</f>
        <v>2015-Q1</v>
      </c>
      <c r="E75" s="57">
        <v>127486432</v>
      </c>
      <c r="F75" s="57">
        <v>51943993</v>
      </c>
      <c r="G75" s="57">
        <f>51680401+1176633</f>
        <v>52857034</v>
      </c>
      <c r="H75" s="57">
        <v>115676137</v>
      </c>
      <c r="I75" s="57">
        <v>116689069</v>
      </c>
      <c r="J75" s="57">
        <v>86532234</v>
      </c>
      <c r="K75" s="57">
        <f>11172545+4623960</f>
        <v>15796505</v>
      </c>
      <c r="L75" s="56">
        <v>14360330</v>
      </c>
      <c r="M75" s="57">
        <v>8395162</v>
      </c>
      <c r="N75" s="2">
        <f t="shared" si="2"/>
        <v>0.748056048932547</v>
      </c>
      <c r="O75" s="4">
        <f t="shared" si="3"/>
        <v>0.13655802665678574</v>
      </c>
    </row>
    <row r="76" spans="1:15" ht="15.75" customHeight="1">
      <c r="A76" s="1" t="s">
        <v>36</v>
      </c>
      <c r="B76" s="3" t="s">
        <v>49</v>
      </c>
      <c r="C76" s="3">
        <v>2015</v>
      </c>
      <c r="D76" s="3" t="str">
        <f>CONCATENATE(Data!$C76,Data!$B76)</f>
        <v>2015-Q1</v>
      </c>
      <c r="E76" s="57">
        <v>4288460</v>
      </c>
      <c r="F76" s="57">
        <v>3286171</v>
      </c>
      <c r="G76" s="57">
        <f>0</f>
        <v>0</v>
      </c>
      <c r="H76" s="57">
        <v>0</v>
      </c>
      <c r="I76" s="57">
        <v>0</v>
      </c>
      <c r="J76" s="57">
        <v>0</v>
      </c>
      <c r="K76" s="57">
        <v>547258</v>
      </c>
      <c r="L76" s="56">
        <v>-547258</v>
      </c>
      <c r="M76" s="57">
        <v>-546554</v>
      </c>
      <c r="N76" s="2" t="str">
        <f t="shared" si="2"/>
        <v>N/A</v>
      </c>
      <c r="O76" s="4" t="str">
        <f t="shared" si="3"/>
        <v>N/A</v>
      </c>
    </row>
    <row r="77" spans="1:15" ht="15.75" customHeight="1">
      <c r="A77" s="1" t="s">
        <v>18</v>
      </c>
      <c r="B77" s="3" t="s">
        <v>50</v>
      </c>
      <c r="C77" s="3">
        <v>2015</v>
      </c>
      <c r="D77" s="3" t="str">
        <f>CONCATENATE(Data!$C77,Data!$B77)</f>
        <v>2015-Q2</v>
      </c>
      <c r="E77" s="57">
        <v>44365471</v>
      </c>
      <c r="F77" s="57">
        <v>22737530</v>
      </c>
      <c r="G77" s="57">
        <f>12091299+27530</f>
        <v>12118829</v>
      </c>
      <c r="H77" s="57">
        <v>87929529</v>
      </c>
      <c r="I77" s="57">
        <v>87929529</v>
      </c>
      <c r="J77" s="57">
        <v>73654351</v>
      </c>
      <c r="K77" s="57">
        <f>2593904+10375870</f>
        <v>12969774</v>
      </c>
      <c r="L77" s="56">
        <v>1305404</v>
      </c>
      <c r="M77" s="57">
        <v>22628</v>
      </c>
      <c r="N77" s="2">
        <f t="shared" si="2"/>
        <v>0.8376520588436224</v>
      </c>
      <c r="O77" s="4">
        <f t="shared" si="3"/>
        <v>0.1475019159945688</v>
      </c>
    </row>
    <row r="78" spans="1:15" ht="15.75" customHeight="1">
      <c r="A78" s="1" t="s">
        <v>11</v>
      </c>
      <c r="B78" s="3" t="s">
        <v>50</v>
      </c>
      <c r="C78" s="3">
        <v>2015</v>
      </c>
      <c r="D78" s="3" t="str">
        <f>CONCATENATE(Data!$C78,Data!$B78)</f>
        <v>2015-Q2</v>
      </c>
      <c r="E78" s="57">
        <v>137379556</v>
      </c>
      <c r="F78" s="57">
        <v>54488135</v>
      </c>
      <c r="G78" s="57">
        <f>40995288+1910763</f>
        <v>42906051</v>
      </c>
      <c r="H78" s="57">
        <v>206708568</v>
      </c>
      <c r="I78" s="57">
        <v>206708568</v>
      </c>
      <c r="J78" s="57">
        <v>197928120</v>
      </c>
      <c r="K78" s="57">
        <f>8991966+27840787</f>
        <v>36832753</v>
      </c>
      <c r="L78" s="56">
        <v>-15390369</v>
      </c>
      <c r="M78" s="57">
        <v>-7033583</v>
      </c>
      <c r="N78" s="2">
        <f t="shared" si="2"/>
        <v>0.9575225735200295</v>
      </c>
      <c r="O78" s="4">
        <f t="shared" si="3"/>
        <v>0.17818687128634164</v>
      </c>
    </row>
    <row r="79" spans="1:15" ht="15.75" customHeight="1">
      <c r="A79" s="1" t="s">
        <v>12</v>
      </c>
      <c r="B79" s="3" t="s">
        <v>50</v>
      </c>
      <c r="C79" s="3">
        <v>2015</v>
      </c>
      <c r="D79" s="3" t="str">
        <f>CONCATENATE(Data!$C79,Data!$B79)</f>
        <v>2015-Q2</v>
      </c>
      <c r="E79" s="57">
        <v>1414691793</v>
      </c>
      <c r="F79" s="57">
        <v>264684585</v>
      </c>
      <c r="G79" s="57">
        <f>34435632+1194769</f>
        <v>35630401</v>
      </c>
      <c r="H79" s="57">
        <v>1580403131</v>
      </c>
      <c r="I79" s="57">
        <v>1671280703</v>
      </c>
      <c r="J79" s="57">
        <v>1541259916</v>
      </c>
      <c r="K79" s="57">
        <f>26302877+124373696</f>
        <v>150676573</v>
      </c>
      <c r="L79" s="56">
        <v>-20655786</v>
      </c>
      <c r="M79" s="57">
        <v>-13159352</v>
      </c>
      <c r="N79" s="2">
        <f t="shared" si="2"/>
        <v>0.9752321327184209</v>
      </c>
      <c r="O79" s="4">
        <f t="shared" si="3"/>
        <v>0.09534059382979038</v>
      </c>
    </row>
    <row r="80" spans="1:15" ht="15.75" customHeight="1">
      <c r="A80" s="1" t="s">
        <v>13</v>
      </c>
      <c r="B80" s="3" t="s">
        <v>50</v>
      </c>
      <c r="C80" s="3">
        <v>2015</v>
      </c>
      <c r="D80" s="3" t="str">
        <f>CONCATENATE(Data!$C80,Data!$B80)</f>
        <v>2015-Q2</v>
      </c>
      <c r="E80" s="57">
        <v>105575959</v>
      </c>
      <c r="F80" s="57">
        <v>22407128</v>
      </c>
      <c r="G80" s="57">
        <f>38611303+1085023</f>
        <v>39696326</v>
      </c>
      <c r="H80" s="57">
        <v>102782406</v>
      </c>
      <c r="I80" s="57">
        <v>102782406</v>
      </c>
      <c r="J80" s="57">
        <v>107335414</v>
      </c>
      <c r="K80" s="57">
        <f>8859514+18269677</f>
        <v>27129191</v>
      </c>
      <c r="L80" s="56">
        <v>-27222624</v>
      </c>
      <c r="M80" s="57">
        <v>-18398683</v>
      </c>
      <c r="N80" s="2">
        <f t="shared" si="2"/>
        <v>1.0442975425190961</v>
      </c>
      <c r="O80" s="4">
        <f t="shared" si="3"/>
        <v>0.26394781028963266</v>
      </c>
    </row>
    <row r="81" spans="1:15" ht="15.75" customHeight="1">
      <c r="A81" s="1" t="s">
        <v>14</v>
      </c>
      <c r="B81" s="3" t="s">
        <v>50</v>
      </c>
      <c r="C81" s="3">
        <v>2015</v>
      </c>
      <c r="D81" s="3" t="str">
        <f>CONCATENATE(Data!$C81,Data!$B81)</f>
        <v>2015-Q2</v>
      </c>
      <c r="E81" s="57">
        <v>445504626</v>
      </c>
      <c r="F81" s="57">
        <v>83801088</v>
      </c>
      <c r="G81" s="57">
        <f>116608774+6646717</f>
        <v>123255491</v>
      </c>
      <c r="H81" s="57">
        <v>387315364</v>
      </c>
      <c r="I81" s="57">
        <v>387315364</v>
      </c>
      <c r="J81" s="57">
        <v>375252941</v>
      </c>
      <c r="K81" s="57">
        <f>10124642+40089290</f>
        <v>50213932</v>
      </c>
      <c r="L81" s="56">
        <v>-38151509</v>
      </c>
      <c r="M81" s="57">
        <v>-33781958</v>
      </c>
      <c r="N81" s="2">
        <f t="shared" si="2"/>
        <v>0.9688563271143563</v>
      </c>
      <c r="O81" s="4">
        <f t="shared" si="3"/>
        <v>0.12964611442576288</v>
      </c>
    </row>
    <row r="82" spans="1:15" ht="15.75" customHeight="1">
      <c r="A82" s="1" t="s">
        <v>19</v>
      </c>
      <c r="B82" s="3" t="s">
        <v>50</v>
      </c>
      <c r="C82" s="3">
        <v>2015</v>
      </c>
      <c r="D82" s="3" t="str">
        <f>CONCATENATE(Data!$C82,Data!$B82)</f>
        <v>2015-Q2</v>
      </c>
      <c r="E82" s="57">
        <v>32770289</v>
      </c>
      <c r="F82" s="57">
        <v>9082231</v>
      </c>
      <c r="G82" s="57">
        <f>8982134+311118</f>
        <v>9293252</v>
      </c>
      <c r="H82" s="57">
        <v>25012962</v>
      </c>
      <c r="I82" s="57">
        <v>25012962</v>
      </c>
      <c r="J82" s="57">
        <v>21395313</v>
      </c>
      <c r="K82" s="57">
        <f>2314337+5387348</f>
        <v>7701685</v>
      </c>
      <c r="L82" s="56">
        <v>-4993036</v>
      </c>
      <c r="M82" s="57">
        <v>-4872652</v>
      </c>
      <c r="N82" s="2">
        <f t="shared" si="2"/>
        <v>0.8553690282662245</v>
      </c>
      <c r="O82" s="4">
        <f t="shared" si="3"/>
        <v>0.307907755986676</v>
      </c>
    </row>
    <row r="83" spans="1:15" ht="15.75" customHeight="1">
      <c r="A83" s="1" t="s">
        <v>15</v>
      </c>
      <c r="B83" s="3" t="s">
        <v>50</v>
      </c>
      <c r="C83" s="3">
        <v>2015</v>
      </c>
      <c r="D83" s="3" t="str">
        <f>CONCATENATE(Data!$C83,Data!$B83)</f>
        <v>2015-Q2</v>
      </c>
      <c r="E83" s="57">
        <v>244673240</v>
      </c>
      <c r="F83" s="57">
        <v>153743892</v>
      </c>
      <c r="G83" s="57">
        <f>50439890+1396944</f>
        <v>51836834</v>
      </c>
      <c r="H83" s="57">
        <v>283697249</v>
      </c>
      <c r="I83" s="57">
        <v>283697249</v>
      </c>
      <c r="J83" s="57">
        <v>238447381</v>
      </c>
      <c r="K83" s="57">
        <f>11046602+40809883</f>
        <v>51856485</v>
      </c>
      <c r="L83" s="56">
        <v>-4126616</v>
      </c>
      <c r="M83" s="57">
        <v>-6274870</v>
      </c>
      <c r="N83" s="2">
        <f t="shared" si="2"/>
        <v>0.8404994473527658</v>
      </c>
      <c r="O83" s="4">
        <f t="shared" si="3"/>
        <v>0.1827881136767738</v>
      </c>
    </row>
    <row r="84" spans="1:15" ht="15.75" customHeight="1">
      <c r="A84" s="1" t="s">
        <v>16</v>
      </c>
      <c r="B84" s="3" t="s">
        <v>50</v>
      </c>
      <c r="C84" s="3">
        <v>2015</v>
      </c>
      <c r="D84" s="3" t="str">
        <f>CONCATENATE(Data!$C84,Data!$B84)</f>
        <v>2015-Q2</v>
      </c>
      <c r="E84" s="57">
        <v>795381208</v>
      </c>
      <c r="F84" s="57">
        <v>518179680</v>
      </c>
      <c r="G84" s="57">
        <f>117856071+2568464</f>
        <v>120424535</v>
      </c>
      <c r="H84" s="57">
        <v>593055317</v>
      </c>
      <c r="I84" s="57">
        <v>593055317</v>
      </c>
      <c r="J84" s="57">
        <v>549377063</v>
      </c>
      <c r="K84" s="57">
        <f>25609055+38870625</f>
        <v>64479680</v>
      </c>
      <c r="L84" s="56">
        <v>-20886582</v>
      </c>
      <c r="M84" s="57">
        <v>-12392514</v>
      </c>
      <c r="N84" s="2">
        <f t="shared" si="2"/>
        <v>0.9263504554331481</v>
      </c>
      <c r="O84" s="4">
        <f t="shared" si="3"/>
        <v>0.10872456270381942</v>
      </c>
    </row>
    <row r="85" spans="1:15" ht="15.75" customHeight="1">
      <c r="A85" s="1" t="s">
        <v>17</v>
      </c>
      <c r="B85" s="3" t="s">
        <v>50</v>
      </c>
      <c r="C85" s="3">
        <v>2015</v>
      </c>
      <c r="D85" s="3" t="str">
        <f>CONCATENATE(Data!$C85,Data!$B85)</f>
        <v>2015-Q2</v>
      </c>
      <c r="E85" s="57">
        <v>1063975048</v>
      </c>
      <c r="F85" s="57">
        <v>627748640</v>
      </c>
      <c r="G85" s="57">
        <f>202369587+8652935</f>
        <v>211022522</v>
      </c>
      <c r="H85" s="57">
        <v>940400764</v>
      </c>
      <c r="I85" s="57">
        <v>940400764</v>
      </c>
      <c r="J85" s="57">
        <v>799589249</v>
      </c>
      <c r="K85" s="57">
        <f>69791687+87652862</f>
        <v>157444549</v>
      </c>
      <c r="L85" s="56">
        <v>-16633034</v>
      </c>
      <c r="M85" s="57">
        <v>-4264089</v>
      </c>
      <c r="N85" s="2">
        <f t="shared" si="2"/>
        <v>0.8502643549532463</v>
      </c>
      <c r="O85" s="4">
        <f t="shared" si="3"/>
        <v>0.16742282123454336</v>
      </c>
    </row>
    <row r="86" spans="1:15" ht="15.75" customHeight="1">
      <c r="A86" s="1" t="s">
        <v>20</v>
      </c>
      <c r="B86" s="3" t="s">
        <v>50</v>
      </c>
      <c r="C86" s="3">
        <v>2015</v>
      </c>
      <c r="D86" s="3" t="str">
        <f>CONCATENATE(Data!$C86,Data!$B86)</f>
        <v>2015-Q2</v>
      </c>
      <c r="E86" s="57">
        <v>14772611</v>
      </c>
      <c r="F86" s="57">
        <v>7932482</v>
      </c>
      <c r="G86" s="57">
        <f>6561817+104566</f>
        <v>6666383</v>
      </c>
      <c r="H86" s="57">
        <v>25745094</v>
      </c>
      <c r="I86" s="57">
        <v>28018615</v>
      </c>
      <c r="J86" s="57">
        <v>25976912</v>
      </c>
      <c r="K86" s="57">
        <f>1447691+2388475</f>
        <v>3836166</v>
      </c>
      <c r="L86" s="56">
        <v>-1794463</v>
      </c>
      <c r="M86" s="57">
        <v>-1135200</v>
      </c>
      <c r="N86" s="2">
        <f t="shared" si="2"/>
        <v>1.0090043563251314</v>
      </c>
      <c r="O86" s="4">
        <f t="shared" si="3"/>
        <v>0.14900570959267034</v>
      </c>
    </row>
    <row r="87" spans="1:15" ht="15.75" customHeight="1">
      <c r="A87" s="1" t="s">
        <v>21</v>
      </c>
      <c r="B87" s="3" t="s">
        <v>50</v>
      </c>
      <c r="C87" s="3">
        <v>2015</v>
      </c>
      <c r="D87" s="3" t="str">
        <f>CONCATENATE(Data!$C87,Data!$B87)</f>
        <v>2015-Q2</v>
      </c>
      <c r="E87" s="57">
        <v>143029301</v>
      </c>
      <c r="F87" s="57">
        <v>56145259</v>
      </c>
      <c r="G87" s="57">
        <f>48827269+1126062</f>
        <v>49953331</v>
      </c>
      <c r="H87" s="57">
        <v>237806228</v>
      </c>
      <c r="I87" s="57">
        <v>251348260</v>
      </c>
      <c r="J87" s="57">
        <v>203937449</v>
      </c>
      <c r="K87" s="57">
        <f>23257639+14441432</f>
        <v>37699071</v>
      </c>
      <c r="L87" s="56">
        <v>9711740</v>
      </c>
      <c r="M87" s="57">
        <v>12508927</v>
      </c>
      <c r="N87" s="2">
        <f t="shared" si="2"/>
        <v>0.857578250641947</v>
      </c>
      <c r="O87" s="4">
        <f t="shared" si="3"/>
        <v>0.15852852684749702</v>
      </c>
    </row>
    <row r="88" spans="1:15" ht="15.75" customHeight="1">
      <c r="A88" s="1" t="s">
        <v>36</v>
      </c>
      <c r="B88" s="3" t="s">
        <v>50</v>
      </c>
      <c r="C88" s="3">
        <v>2015</v>
      </c>
      <c r="D88" s="3" t="str">
        <f>CONCATENATE(Data!$C88,Data!$B88)</f>
        <v>2015-Q2</v>
      </c>
      <c r="E88" s="57">
        <v>4491006</v>
      </c>
      <c r="F88" s="57">
        <v>4285152</v>
      </c>
      <c r="G88" s="57">
        <f>41140+2296</f>
        <v>43436</v>
      </c>
      <c r="H88" s="57">
        <v>67228</v>
      </c>
      <c r="I88" s="57">
        <v>67228</v>
      </c>
      <c r="J88" s="57">
        <v>58209</v>
      </c>
      <c r="K88" s="57">
        <v>1582830</v>
      </c>
      <c r="L88" s="56">
        <v>-1576107</v>
      </c>
      <c r="M88" s="57">
        <v>-1574411</v>
      </c>
      <c r="N88" s="2">
        <f t="shared" si="2"/>
        <v>0.8658445885642887</v>
      </c>
      <c r="O88" s="4">
        <f t="shared" si="3"/>
        <v>23.544207770571784</v>
      </c>
    </row>
    <row r="89" spans="1:15" ht="15.75" customHeight="1">
      <c r="A89" s="1" t="s">
        <v>18</v>
      </c>
      <c r="B89" s="3" t="s">
        <v>51</v>
      </c>
      <c r="C89" s="3">
        <v>2015</v>
      </c>
      <c r="D89" s="3" t="str">
        <f>CONCATENATE(Data!$C89,Data!$B89)</f>
        <v>2015-Q3</v>
      </c>
      <c r="E89" s="57">
        <v>41259836</v>
      </c>
      <c r="F89" s="57">
        <v>24956636</v>
      </c>
      <c r="G89" s="57">
        <f>12355024+27530</f>
        <v>12382554</v>
      </c>
      <c r="H89" s="57">
        <v>132284384</v>
      </c>
      <c r="I89" s="57">
        <v>132284384</v>
      </c>
      <c r="J89" s="57">
        <v>110984918</v>
      </c>
      <c r="K89" s="57">
        <f>3899446+14531469</f>
        <v>18430915</v>
      </c>
      <c r="L89" s="56">
        <v>2868550</v>
      </c>
      <c r="M89" s="57">
        <v>393766</v>
      </c>
      <c r="N89" s="2">
        <f t="shared" si="2"/>
        <v>0.8389872987578035</v>
      </c>
      <c r="O89" s="4">
        <f t="shared" si="3"/>
        <v>0.13932797237805483</v>
      </c>
    </row>
    <row r="90" spans="1:15" ht="15.75" customHeight="1">
      <c r="A90" s="1" t="s">
        <v>11</v>
      </c>
      <c r="B90" s="3" t="s">
        <v>51</v>
      </c>
      <c r="C90" s="3">
        <v>2015</v>
      </c>
      <c r="D90" s="3" t="str">
        <f>CONCATENATE(Data!$C90,Data!$B90)</f>
        <v>2015-Q3</v>
      </c>
      <c r="E90" s="57">
        <v>141966268</v>
      </c>
      <c r="F90" s="57">
        <v>66647698</v>
      </c>
      <c r="G90" s="57">
        <f>43063533+1893342</f>
        <v>44956875</v>
      </c>
      <c r="H90" s="57">
        <v>312539234</v>
      </c>
      <c r="I90" s="57">
        <v>312539234</v>
      </c>
      <c r="J90" s="57">
        <v>294954154</v>
      </c>
      <c r="K90" s="57">
        <f>13298143+38394628</f>
        <v>51692771</v>
      </c>
      <c r="L90" s="56">
        <v>-19126479</v>
      </c>
      <c r="M90" s="57">
        <v>-8239560</v>
      </c>
      <c r="N90" s="2">
        <f t="shared" si="2"/>
        <v>0.9437348080273339</v>
      </c>
      <c r="O90" s="4">
        <f t="shared" si="3"/>
        <v>0.16539610191787954</v>
      </c>
    </row>
    <row r="91" spans="1:15" ht="15.75" customHeight="1">
      <c r="A91" s="1" t="s">
        <v>12</v>
      </c>
      <c r="B91" s="3" t="s">
        <v>51</v>
      </c>
      <c r="C91" s="3">
        <v>2015</v>
      </c>
      <c r="D91" s="3" t="str">
        <f>CONCATENATE(Data!$C91,Data!$B91)</f>
        <v>2015-Q3</v>
      </c>
      <c r="E91" s="57">
        <v>1445153790</v>
      </c>
      <c r="F91" s="57">
        <v>260938764</v>
      </c>
      <c r="G91" s="57">
        <f>41712215+1194769</f>
        <v>42906984</v>
      </c>
      <c r="H91" s="57">
        <v>2366965606</v>
      </c>
      <c r="I91" s="57">
        <v>2506269493</v>
      </c>
      <c r="J91" s="57">
        <v>2320767100</v>
      </c>
      <c r="K91" s="57">
        <f>36713405+171792111</f>
        <v>208505516</v>
      </c>
      <c r="L91" s="56">
        <v>-23003123</v>
      </c>
      <c r="M91" s="57">
        <v>-13726585</v>
      </c>
      <c r="N91" s="2">
        <f t="shared" si="2"/>
        <v>0.9804819698761605</v>
      </c>
      <c r="O91" s="4">
        <f t="shared" si="3"/>
        <v>0.08808979542054234</v>
      </c>
    </row>
    <row r="92" spans="1:15" ht="15.75" customHeight="1">
      <c r="A92" s="1" t="s">
        <v>13</v>
      </c>
      <c r="B92" s="3" t="s">
        <v>51</v>
      </c>
      <c r="C92" s="3">
        <v>2015</v>
      </c>
      <c r="D92" s="3" t="str">
        <f>CONCATENATE(Data!$C92,Data!$B92)</f>
        <v>2015-Q3</v>
      </c>
      <c r="E92" s="57">
        <v>106618028</v>
      </c>
      <c r="F92" s="57">
        <v>22679129</v>
      </c>
      <c r="G92" s="57">
        <f>36963543+1108661</f>
        <v>38072204</v>
      </c>
      <c r="H92" s="57">
        <v>153541807</v>
      </c>
      <c r="I92" s="57">
        <v>153541807</v>
      </c>
      <c r="J92" s="57">
        <v>156563567</v>
      </c>
      <c r="K92" s="57">
        <f>13430214+25493241</f>
        <v>38923455</v>
      </c>
      <c r="L92" s="56">
        <v>-34809895</v>
      </c>
      <c r="M92" s="57">
        <v>-22606184</v>
      </c>
      <c r="N92" s="2">
        <f t="shared" si="2"/>
        <v>1.0196803727860255</v>
      </c>
      <c r="O92" s="4">
        <f t="shared" si="3"/>
        <v>0.25350395283546456</v>
      </c>
    </row>
    <row r="93" spans="1:15" ht="15.75" customHeight="1">
      <c r="A93" s="1" t="s">
        <v>14</v>
      </c>
      <c r="B93" s="3" t="s">
        <v>51</v>
      </c>
      <c r="C93" s="3">
        <v>2015</v>
      </c>
      <c r="D93" s="3" t="str">
        <f>CONCATENATE(Data!$C93,Data!$B93)</f>
        <v>2015-Q3</v>
      </c>
      <c r="E93" s="57">
        <v>372018633</v>
      </c>
      <c r="F93" s="57">
        <v>53120449</v>
      </c>
      <c r="G93" s="57">
        <f>121971994+7165850</f>
        <v>129137844</v>
      </c>
      <c r="H93" s="57">
        <v>576560289</v>
      </c>
      <c r="I93" s="57">
        <v>576560289</v>
      </c>
      <c r="J93" s="57">
        <v>561964402</v>
      </c>
      <c r="K93" s="57">
        <f>3074495+46345195</f>
        <v>49419690</v>
      </c>
      <c r="L93" s="56">
        <v>-34823803</v>
      </c>
      <c r="M93" s="57">
        <v>-30929039</v>
      </c>
      <c r="N93" s="2">
        <f t="shared" si="2"/>
        <v>0.9746845433539735</v>
      </c>
      <c r="O93" s="4">
        <f t="shared" si="3"/>
        <v>0.08571469617811295</v>
      </c>
    </row>
    <row r="94" spans="1:15" ht="15.75" customHeight="1">
      <c r="A94" s="1" t="s">
        <v>19</v>
      </c>
      <c r="B94" s="3" t="s">
        <v>51</v>
      </c>
      <c r="C94" s="3">
        <v>2015</v>
      </c>
      <c r="D94" s="3" t="str">
        <f>CONCATENATE(Data!$C94,Data!$B94)</f>
        <v>2015-Q3</v>
      </c>
      <c r="E94" s="57">
        <v>48153329</v>
      </c>
      <c r="F94" s="57">
        <v>23007063</v>
      </c>
      <c r="G94" s="57">
        <f>10063866+349491</f>
        <v>10413357</v>
      </c>
      <c r="H94" s="57">
        <v>38844130</v>
      </c>
      <c r="I94" s="57">
        <v>38844130</v>
      </c>
      <c r="J94" s="57">
        <v>36323206</v>
      </c>
      <c r="K94" s="57">
        <f>3375691+8155227</f>
        <v>11530918</v>
      </c>
      <c r="L94" s="56">
        <v>-10050995</v>
      </c>
      <c r="M94" s="57">
        <v>-9851485</v>
      </c>
      <c r="N94" s="2">
        <f t="shared" si="2"/>
        <v>0.9351015455874543</v>
      </c>
      <c r="O94" s="4">
        <f t="shared" si="3"/>
        <v>0.2968509785133558</v>
      </c>
    </row>
    <row r="95" spans="1:15" ht="15.75" customHeight="1">
      <c r="A95" s="1" t="s">
        <v>15</v>
      </c>
      <c r="B95" s="3" t="s">
        <v>51</v>
      </c>
      <c r="C95" s="3">
        <v>2015</v>
      </c>
      <c r="D95" s="3" t="str">
        <f>CONCATENATE(Data!$C95,Data!$B95)</f>
        <v>2015-Q3</v>
      </c>
      <c r="E95" s="57">
        <v>245348465</v>
      </c>
      <c r="F95" s="57">
        <v>157011751</v>
      </c>
      <c r="G95" s="57">
        <f>52651369+1444058</f>
        <v>54095427</v>
      </c>
      <c r="H95" s="57">
        <v>421642263</v>
      </c>
      <c r="I95" s="57">
        <v>421642263</v>
      </c>
      <c r="J95" s="57">
        <v>358688382</v>
      </c>
      <c r="K95" s="57">
        <f>15076499+55697686</f>
        <v>70774185</v>
      </c>
      <c r="L95" s="56">
        <v>-4100304</v>
      </c>
      <c r="M95" s="57">
        <v>-5100644</v>
      </c>
      <c r="N95" s="2">
        <f t="shared" si="2"/>
        <v>0.8506936174944114</v>
      </c>
      <c r="O95" s="4">
        <f t="shared" si="3"/>
        <v>0.16785363140886092</v>
      </c>
    </row>
    <row r="96" spans="1:15" ht="15.75" customHeight="1">
      <c r="A96" s="1" t="s">
        <v>16</v>
      </c>
      <c r="B96" s="3" t="s">
        <v>51</v>
      </c>
      <c r="C96" s="3">
        <v>2015</v>
      </c>
      <c r="D96" s="3" t="str">
        <f>CONCATENATE(Data!$C96,Data!$B96)</f>
        <v>2015-Q3</v>
      </c>
      <c r="E96" s="57">
        <v>838960060</v>
      </c>
      <c r="F96" s="57">
        <v>519390784</v>
      </c>
      <c r="G96" s="57">
        <f>126270620+2935996</f>
        <v>129206616</v>
      </c>
      <c r="H96" s="57">
        <v>894461035</v>
      </c>
      <c r="I96" s="57">
        <v>894461035</v>
      </c>
      <c r="J96" s="57">
        <v>839682116</v>
      </c>
      <c r="K96" s="57">
        <f>39853398+48747630</f>
        <v>88601028</v>
      </c>
      <c r="L96" s="56">
        <v>-34981256</v>
      </c>
      <c r="M96" s="57">
        <v>-23353819</v>
      </c>
      <c r="N96" s="2">
        <f t="shared" si="2"/>
        <v>0.9387576240255117</v>
      </c>
      <c r="O96" s="4">
        <f t="shared" si="3"/>
        <v>0.09905521261750659</v>
      </c>
    </row>
    <row r="97" spans="1:15" ht="15.75" customHeight="1">
      <c r="A97" s="1" t="s">
        <v>17</v>
      </c>
      <c r="B97" s="3" t="s">
        <v>51</v>
      </c>
      <c r="C97" s="3">
        <v>2015</v>
      </c>
      <c r="D97" s="3" t="str">
        <f>CONCATENATE(Data!$C97,Data!$B97)</f>
        <v>2015-Q3</v>
      </c>
      <c r="E97" s="57">
        <v>1048904919</v>
      </c>
      <c r="F97" s="57">
        <v>636340729</v>
      </c>
      <c r="G97" s="57">
        <f>207141167+8312005</f>
        <v>215453172</v>
      </c>
      <c r="H97" s="57">
        <v>1416021161</v>
      </c>
      <c r="I97" s="57">
        <v>1416021161</v>
      </c>
      <c r="J97" s="57">
        <v>1192494703</v>
      </c>
      <c r="K97" s="57">
        <f>105245626+116212096</f>
        <v>221457722</v>
      </c>
      <c r="L97" s="56">
        <v>2068736</v>
      </c>
      <c r="M97" s="57">
        <v>28147979</v>
      </c>
      <c r="N97" s="2">
        <f t="shared" si="2"/>
        <v>0.8421446909436405</v>
      </c>
      <c r="O97" s="4">
        <f t="shared" si="3"/>
        <v>0.15639435913768807</v>
      </c>
    </row>
    <row r="98" spans="1:15" ht="15.75" customHeight="1">
      <c r="A98" s="1" t="s">
        <v>20</v>
      </c>
      <c r="B98" s="3" t="s">
        <v>51</v>
      </c>
      <c r="C98" s="3">
        <v>2015</v>
      </c>
      <c r="D98" s="3" t="str">
        <f>CONCATENATE(Data!$C98,Data!$B98)</f>
        <v>2015-Q3</v>
      </c>
      <c r="E98" s="57">
        <v>14716007</v>
      </c>
      <c r="F98" s="57">
        <v>7296049</v>
      </c>
      <c r="G98" s="57">
        <f>6049537+10725</f>
        <v>6060262</v>
      </c>
      <c r="H98" s="57">
        <v>41771225</v>
      </c>
      <c r="I98" s="57">
        <v>41771225</v>
      </c>
      <c r="J98" s="57">
        <v>38065645</v>
      </c>
      <c r="K98" s="57">
        <f>2223099+3721727</f>
        <v>5944826</v>
      </c>
      <c r="L98" s="56">
        <v>-2239246</v>
      </c>
      <c r="M98" s="57">
        <v>-1569559</v>
      </c>
      <c r="N98" s="2">
        <f t="shared" si="2"/>
        <v>0.911288692155904</v>
      </c>
      <c r="O98" s="4">
        <f t="shared" si="3"/>
        <v>0.14231868948061735</v>
      </c>
    </row>
    <row r="99" spans="1:15" ht="15.75" customHeight="1">
      <c r="A99" s="1" t="s">
        <v>21</v>
      </c>
      <c r="B99" s="3" t="s">
        <v>51</v>
      </c>
      <c r="C99" s="3">
        <v>2015</v>
      </c>
      <c r="D99" s="3" t="str">
        <f>CONCATENATE(Data!$C99,Data!$B99)</f>
        <v>2015-Q3</v>
      </c>
      <c r="E99" s="57">
        <v>112147730</v>
      </c>
      <c r="F99" s="57">
        <v>32234347</v>
      </c>
      <c r="G99" s="57">
        <f>55233529+1794189</f>
        <v>57027718</v>
      </c>
      <c r="H99" s="57">
        <v>358253408</v>
      </c>
      <c r="I99" s="57">
        <v>382496069</v>
      </c>
      <c r="J99" s="57">
        <v>313908329</v>
      </c>
      <c r="K99" s="57">
        <f>33836090+23629137</f>
        <v>57465227</v>
      </c>
      <c r="L99" s="56">
        <v>11122513</v>
      </c>
      <c r="M99" s="57">
        <v>6757080</v>
      </c>
      <c r="N99" s="2">
        <f t="shared" si="2"/>
        <v>0.8762186820564732</v>
      </c>
      <c r="O99" s="4">
        <f t="shared" si="3"/>
        <v>0.16040385301791743</v>
      </c>
    </row>
    <row r="100" spans="1:15" ht="15.75" customHeight="1">
      <c r="A100" s="1" t="s">
        <v>36</v>
      </c>
      <c r="B100" s="3" t="s">
        <v>51</v>
      </c>
      <c r="C100" s="3">
        <v>2015</v>
      </c>
      <c r="D100" s="3" t="str">
        <f>CONCATENATE(Data!$C100,Data!$B100)</f>
        <v>2015-Q3</v>
      </c>
      <c r="E100" s="57">
        <v>5225540</v>
      </c>
      <c r="F100" s="57">
        <v>3940159</v>
      </c>
      <c r="G100" s="57">
        <f>123025+5083</f>
        <v>128108</v>
      </c>
      <c r="H100" s="57">
        <v>200249</v>
      </c>
      <c r="I100" s="57">
        <v>200249</v>
      </c>
      <c r="J100" s="57">
        <v>175141</v>
      </c>
      <c r="K100" s="57">
        <f>219874+2412927</f>
        <v>2632801</v>
      </c>
      <c r="L100" s="56">
        <v>-2612776</v>
      </c>
      <c r="M100" s="57">
        <v>-2610059</v>
      </c>
      <c r="N100" s="2">
        <f t="shared" si="2"/>
        <v>0.874616102951825</v>
      </c>
      <c r="O100" s="4">
        <f t="shared" si="3"/>
        <v>13.14763619293979</v>
      </c>
    </row>
    <row r="101" spans="1:15" ht="15.75" customHeight="1">
      <c r="A101" s="1" t="s">
        <v>18</v>
      </c>
      <c r="B101" s="3" t="s">
        <v>52</v>
      </c>
      <c r="C101" s="3">
        <v>2015</v>
      </c>
      <c r="D101" s="3" t="str">
        <f>CONCATENATE(Data!$C101,Data!$B101)</f>
        <v>2015-Q4</v>
      </c>
      <c r="E101" s="57">
        <v>44255367</v>
      </c>
      <c r="F101" s="57">
        <v>28135474</v>
      </c>
      <c r="G101" s="57">
        <f>11950412+27530</f>
        <v>11977942</v>
      </c>
      <c r="H101" s="57">
        <v>176129313</v>
      </c>
      <c r="I101" s="57">
        <v>176129313</v>
      </c>
      <c r="J101" s="57">
        <v>147796757</v>
      </c>
      <c r="K101" s="57">
        <f>5101165+18742871</f>
        <v>23844036</v>
      </c>
      <c r="L101" s="56">
        <v>4488520</v>
      </c>
      <c r="M101" s="57">
        <v>1287969</v>
      </c>
      <c r="N101" s="2">
        <f t="shared" si="2"/>
        <v>0.8391377589714439</v>
      </c>
      <c r="O101" s="4">
        <f t="shared" si="3"/>
        <v>0.13537801058702817</v>
      </c>
    </row>
    <row r="102" spans="1:15" ht="15.75" customHeight="1">
      <c r="A102" s="1" t="s">
        <v>11</v>
      </c>
      <c r="B102" s="3" t="s">
        <v>52</v>
      </c>
      <c r="C102" s="3">
        <v>2015</v>
      </c>
      <c r="D102" s="3" t="str">
        <f>CONCATENATE(Data!$C102,Data!$B102)</f>
        <v>2015-Q4</v>
      </c>
      <c r="E102" s="57">
        <v>152052291</v>
      </c>
      <c r="F102" s="57">
        <v>68083502</v>
      </c>
      <c r="G102" s="57">
        <f>44525462+2060423</f>
        <v>46585885</v>
      </c>
      <c r="H102" s="57">
        <f>418616587+224578</f>
        <v>418841165</v>
      </c>
      <c r="I102" s="57">
        <v>418841165</v>
      </c>
      <c r="J102" s="57">
        <v>396743095</v>
      </c>
      <c r="K102" s="57">
        <f>17439169+50667196</f>
        <v>68106365</v>
      </c>
      <c r="L102" s="56">
        <v>-40879656</v>
      </c>
      <c r="M102" s="57">
        <v>-25390633</v>
      </c>
      <c r="N102" s="2">
        <f t="shared" si="2"/>
        <v>0.9472399758032379</v>
      </c>
      <c r="O102" s="4">
        <f t="shared" si="3"/>
        <v>0.1626066649871915</v>
      </c>
    </row>
    <row r="103" spans="1:15" ht="15.75" customHeight="1">
      <c r="A103" s="1" t="s">
        <v>12</v>
      </c>
      <c r="B103" s="3" t="s">
        <v>52</v>
      </c>
      <c r="C103" s="3">
        <v>2015</v>
      </c>
      <c r="D103" s="3" t="str">
        <f>CONCATENATE(Data!$C103,Data!$B103)</f>
        <v>2015-Q4</v>
      </c>
      <c r="E103" s="57">
        <v>1477552113</v>
      </c>
      <c r="F103" s="57">
        <v>419324870</v>
      </c>
      <c r="G103" s="57">
        <f>57956647+1321580</f>
        <v>59278227</v>
      </c>
      <c r="H103" s="57">
        <v>3167470248</v>
      </c>
      <c r="I103" s="57">
        <v>3357499890</v>
      </c>
      <c r="J103" s="57">
        <v>3111395712</v>
      </c>
      <c r="K103" s="57">
        <f>46949398+224451058</f>
        <v>271400456</v>
      </c>
      <c r="L103" s="56">
        <v>-25296278</v>
      </c>
      <c r="M103" s="57">
        <v>-13498515</v>
      </c>
      <c r="N103" s="2">
        <f t="shared" si="2"/>
        <v>0.9822967442123863</v>
      </c>
      <c r="O103" s="4">
        <f t="shared" si="3"/>
        <v>0.08568366385489093</v>
      </c>
    </row>
    <row r="104" spans="1:15" ht="15.75" customHeight="1">
      <c r="A104" s="1" t="s">
        <v>13</v>
      </c>
      <c r="B104" s="3" t="s">
        <v>52</v>
      </c>
      <c r="C104" s="3">
        <v>2015</v>
      </c>
      <c r="D104" s="3" t="str">
        <f>CONCATENATE(Data!$C104,Data!$B104)</f>
        <v>2015-Q4</v>
      </c>
      <c r="E104" s="57">
        <v>107265198</v>
      </c>
      <c r="F104" s="57">
        <v>21417943</v>
      </c>
      <c r="G104" s="57">
        <f>29394414+851986</f>
        <v>30246400</v>
      </c>
      <c r="H104" s="57">
        <f>197371103+947716</f>
        <v>198318819</v>
      </c>
      <c r="I104" s="57">
        <v>198318819</v>
      </c>
      <c r="J104" s="57">
        <v>206264891</v>
      </c>
      <c r="K104" s="57">
        <f>17801088+32592730</f>
        <v>50393818</v>
      </c>
      <c r="L104" s="56">
        <v>-56685453</v>
      </c>
      <c r="M104" s="57">
        <v>-35739721</v>
      </c>
      <c r="N104" s="2">
        <f t="shared" si="2"/>
        <v>1.040067160746858</v>
      </c>
      <c r="O104" s="4">
        <f t="shared" si="3"/>
        <v>0.2541050731045348</v>
      </c>
    </row>
    <row r="105" spans="1:15" ht="15.75" customHeight="1">
      <c r="A105" s="1" t="s">
        <v>14</v>
      </c>
      <c r="B105" s="3" t="s">
        <v>52</v>
      </c>
      <c r="C105" s="3">
        <v>2015</v>
      </c>
      <c r="D105" s="3" t="str">
        <f>CONCATENATE(Data!$C105,Data!$B105)</f>
        <v>2015-Q4</v>
      </c>
      <c r="E105" s="57">
        <v>558733690</v>
      </c>
      <c r="F105" s="57">
        <v>67018290</v>
      </c>
      <c r="G105" s="57">
        <f>88335503+7381000</f>
        <v>95716503</v>
      </c>
      <c r="H105" s="57">
        <v>777092615</v>
      </c>
      <c r="I105" s="57">
        <v>777092615</v>
      </c>
      <c r="J105" s="57">
        <v>778817127</v>
      </c>
      <c r="K105" s="57">
        <f>27047760+34732646</f>
        <v>61780406</v>
      </c>
      <c r="L105" s="56">
        <v>-63504918</v>
      </c>
      <c r="M105" s="57">
        <v>-49529430</v>
      </c>
      <c r="N105" s="2">
        <f t="shared" si="2"/>
        <v>1.00221918464635</v>
      </c>
      <c r="O105" s="4">
        <f t="shared" si="3"/>
        <v>0.07950198574464641</v>
      </c>
    </row>
    <row r="106" spans="1:15" ht="15.75" customHeight="1">
      <c r="A106" s="1" t="s">
        <v>19</v>
      </c>
      <c r="B106" s="3" t="s">
        <v>52</v>
      </c>
      <c r="C106" s="3">
        <v>2015</v>
      </c>
      <c r="D106" s="3" t="str">
        <f>CONCATENATE(Data!$C106,Data!$B106)</f>
        <v>2015-Q4</v>
      </c>
      <c r="E106" s="57">
        <v>43996083</v>
      </c>
      <c r="F106" s="57">
        <v>20972125</v>
      </c>
      <c r="G106" s="57">
        <f>12591918+484682</f>
        <v>13076600</v>
      </c>
      <c r="H106" s="57">
        <f>48931793+4819689</f>
        <v>53751482</v>
      </c>
      <c r="I106" s="57">
        <v>53751482</v>
      </c>
      <c r="J106" s="57">
        <v>53529788</v>
      </c>
      <c r="K106" s="57">
        <f>4563940+11632164</f>
        <v>16196104</v>
      </c>
      <c r="L106" s="56">
        <v>-18720409</v>
      </c>
      <c r="M106" s="57">
        <v>-18437082</v>
      </c>
      <c r="N106" s="2">
        <f t="shared" si="2"/>
        <v>0.9958755741841685</v>
      </c>
      <c r="O106" s="4">
        <f t="shared" si="3"/>
        <v>0.3013145572432775</v>
      </c>
    </row>
    <row r="107" spans="1:15" ht="15.75" customHeight="1">
      <c r="A107" s="1" t="s">
        <v>15</v>
      </c>
      <c r="B107" s="3" t="s">
        <v>52</v>
      </c>
      <c r="C107" s="3">
        <v>2015</v>
      </c>
      <c r="D107" s="3" t="str">
        <f>CONCATENATE(Data!$C107,Data!$B107)</f>
        <v>2015-Q4</v>
      </c>
      <c r="E107" s="57">
        <v>228865196</v>
      </c>
      <c r="F107" s="57">
        <v>144396362</v>
      </c>
      <c r="G107" s="57">
        <f>60785731+1795182</f>
        <v>62580913</v>
      </c>
      <c r="H107" s="57">
        <f>562246723+2590913</f>
        <v>564837636</v>
      </c>
      <c r="I107" s="57">
        <v>564837636</v>
      </c>
      <c r="J107" s="57">
        <v>487253582</v>
      </c>
      <c r="K107" s="57">
        <f>23026307+69514934</f>
        <v>92541241</v>
      </c>
      <c r="L107" s="56">
        <v>-9997187</v>
      </c>
      <c r="M107" s="57">
        <v>-10209074</v>
      </c>
      <c r="N107" s="2">
        <f t="shared" si="2"/>
        <v>0.8626436181741969</v>
      </c>
      <c r="O107" s="4">
        <f t="shared" si="3"/>
        <v>0.1638368888719023</v>
      </c>
    </row>
    <row r="108" spans="1:15" ht="15.75" customHeight="1">
      <c r="A108" s="1" t="s">
        <v>16</v>
      </c>
      <c r="B108" s="3" t="s">
        <v>52</v>
      </c>
      <c r="C108" s="3">
        <v>2015</v>
      </c>
      <c r="D108" s="3" t="str">
        <f>CONCATENATE(Data!$C108,Data!$B108)</f>
        <v>2015-Q4</v>
      </c>
      <c r="E108" s="57">
        <v>799297273</v>
      </c>
      <c r="F108" s="57">
        <v>464619718</v>
      </c>
      <c r="G108" s="57">
        <f>128298992+3792275</f>
        <v>132091267</v>
      </c>
      <c r="H108" s="57">
        <v>1193246524</v>
      </c>
      <c r="I108" s="57">
        <v>1193246524</v>
      </c>
      <c r="J108" s="57">
        <v>1131109046</v>
      </c>
      <c r="K108" s="57">
        <f>37856598+83391828</f>
        <v>121248426</v>
      </c>
      <c r="L108" s="56">
        <v>-75708217</v>
      </c>
      <c r="M108" s="57">
        <v>-63042540</v>
      </c>
      <c r="N108" s="2">
        <f t="shared" si="2"/>
        <v>0.9479256995514198</v>
      </c>
      <c r="O108" s="4">
        <f t="shared" si="3"/>
        <v>0.10161221806333123</v>
      </c>
    </row>
    <row r="109" spans="1:15" ht="15.75" customHeight="1">
      <c r="A109" s="1" t="s">
        <v>17</v>
      </c>
      <c r="B109" s="3" t="s">
        <v>52</v>
      </c>
      <c r="C109" s="3">
        <v>2015</v>
      </c>
      <c r="D109" s="3" t="str">
        <f>CONCATENATE(Data!$C109,Data!$B109)</f>
        <v>2015-Q4</v>
      </c>
      <c r="E109" s="57">
        <v>1045760007</v>
      </c>
      <c r="F109" s="57">
        <v>639241327</v>
      </c>
      <c r="G109" s="57">
        <f>201529454+8628408</f>
        <v>210157862</v>
      </c>
      <c r="H109" s="57">
        <f>1880481150-2876307</f>
        <v>1877604843</v>
      </c>
      <c r="I109" s="57">
        <v>1877604843</v>
      </c>
      <c r="J109" s="57">
        <v>1590320643</v>
      </c>
      <c r="K109" s="57">
        <f>142120222+147817541</f>
        <v>289937763</v>
      </c>
      <c r="L109" s="56">
        <v>-2653563</v>
      </c>
      <c r="M109" s="57">
        <v>25831413</v>
      </c>
      <c r="N109" s="2">
        <f t="shared" si="2"/>
        <v>0.8469943230754652</v>
      </c>
      <c r="O109" s="4">
        <f t="shared" si="3"/>
        <v>0.1544189471394541</v>
      </c>
    </row>
    <row r="110" spans="1:15" ht="15.75" customHeight="1">
      <c r="A110" s="1" t="s">
        <v>20</v>
      </c>
      <c r="B110" s="3" t="s">
        <v>52</v>
      </c>
      <c r="C110" s="3">
        <v>2015</v>
      </c>
      <c r="D110" s="3" t="str">
        <f>CONCATENATE(Data!$C110,Data!$B110)</f>
        <v>2015-Q4</v>
      </c>
      <c r="E110" s="57">
        <v>17417572</v>
      </c>
      <c r="F110" s="57">
        <v>8200126</v>
      </c>
      <c r="G110" s="57">
        <f>7319286+184474</f>
        <v>7503760</v>
      </c>
      <c r="H110" s="57">
        <v>52766345</v>
      </c>
      <c r="I110" s="57">
        <v>61051759</v>
      </c>
      <c r="J110" s="57">
        <v>54038823</v>
      </c>
      <c r="K110" s="57">
        <f>3339379+5016963</f>
        <v>8356342</v>
      </c>
      <c r="L110" s="56">
        <v>-1343406</v>
      </c>
      <c r="M110" s="57">
        <v>-836030</v>
      </c>
      <c r="N110" s="2">
        <f t="shared" si="2"/>
        <v>1.0241153333625819</v>
      </c>
      <c r="O110" s="4">
        <f t="shared" si="3"/>
        <v>0.1583649957183883</v>
      </c>
    </row>
    <row r="111" spans="1:15" ht="15.75" customHeight="1">
      <c r="A111" s="1" t="s">
        <v>21</v>
      </c>
      <c r="B111" s="3" t="s">
        <v>52</v>
      </c>
      <c r="C111" s="3">
        <v>2015</v>
      </c>
      <c r="D111" s="3" t="str">
        <f>CONCATENATE(Data!$C111,Data!$B111)</f>
        <v>2015-Q4</v>
      </c>
      <c r="E111" s="57">
        <v>154802343</v>
      </c>
      <c r="F111" s="57">
        <v>41280302</v>
      </c>
      <c r="G111" s="57">
        <f>73011361+2542030</f>
        <v>75553391</v>
      </c>
      <c r="H111" s="57">
        <v>492403518</v>
      </c>
      <c r="I111" s="57">
        <v>522881728</v>
      </c>
      <c r="J111" s="57">
        <v>434223610</v>
      </c>
      <c r="K111" s="57">
        <f>21633005+33966484</f>
        <v>55599489</v>
      </c>
      <c r="L111" s="56">
        <v>27925005</v>
      </c>
      <c r="M111" s="57">
        <v>14122024</v>
      </c>
      <c r="N111" s="2">
        <f t="shared" si="2"/>
        <v>0.8818450602540171</v>
      </c>
      <c r="O111" s="4">
        <f t="shared" si="3"/>
        <v>0.11291448368571566</v>
      </c>
    </row>
    <row r="112" spans="1:15" ht="15.75" customHeight="1">
      <c r="A112" s="1" t="s">
        <v>36</v>
      </c>
      <c r="B112" s="3" t="s">
        <v>52</v>
      </c>
      <c r="C112" s="3">
        <v>2015</v>
      </c>
      <c r="D112" s="3" t="str">
        <f>CONCATENATE(Data!$C112,Data!$B112)</f>
        <v>2015-Q4</v>
      </c>
      <c r="E112" s="57">
        <v>4380944</v>
      </c>
      <c r="F112" s="57">
        <v>3405851</v>
      </c>
      <c r="G112" s="57">
        <f>150529+43248</f>
        <v>193777</v>
      </c>
      <c r="H112" s="57">
        <v>374859</v>
      </c>
      <c r="I112" s="57">
        <v>374859</v>
      </c>
      <c r="J112" s="57">
        <v>268086</v>
      </c>
      <c r="K112" s="57">
        <f>283342+3683971</f>
        <v>3967313</v>
      </c>
      <c r="L112" s="56">
        <v>-3903788</v>
      </c>
      <c r="M112" s="57">
        <v>-3899934</v>
      </c>
      <c r="N112" s="2">
        <f t="shared" si="2"/>
        <v>0.7151649020031532</v>
      </c>
      <c r="O112" s="4">
        <f t="shared" si="3"/>
        <v>10.583480722084838</v>
      </c>
    </row>
    <row r="113" spans="1:15" ht="15.75" customHeight="1">
      <c r="A113" s="1" t="s">
        <v>18</v>
      </c>
      <c r="B113" s="3" t="s">
        <v>49</v>
      </c>
      <c r="C113" s="3">
        <v>2016</v>
      </c>
      <c r="D113" s="3" t="str">
        <f>CONCATENATE(Data!$C113,Data!$B113)</f>
        <v>2016-Q1</v>
      </c>
      <c r="E113" s="57">
        <v>51122028</v>
      </c>
      <c r="F113" s="57">
        <v>26559331</v>
      </c>
      <c r="G113" s="57">
        <f>13074952</f>
        <v>13074952</v>
      </c>
      <c r="H113" s="57">
        <v>50027962</v>
      </c>
      <c r="I113" s="57">
        <v>50027962</v>
      </c>
      <c r="J113" s="57">
        <v>41888467</v>
      </c>
      <c r="K113" s="57">
        <f>1656553+7391591</f>
        <v>9048144</v>
      </c>
      <c r="L113" s="56">
        <v>-908649</v>
      </c>
      <c r="M113" s="57">
        <v>-1620612</v>
      </c>
      <c r="N113" s="2">
        <f t="shared" si="2"/>
        <v>0.8373010877396925</v>
      </c>
      <c r="O113" s="4">
        <f t="shared" si="3"/>
        <v>0.1808617348833838</v>
      </c>
    </row>
    <row r="114" spans="1:15" ht="15.75" customHeight="1">
      <c r="A114" s="1" t="s">
        <v>11</v>
      </c>
      <c r="B114" s="3" t="s">
        <v>49</v>
      </c>
      <c r="C114" s="3">
        <v>2016</v>
      </c>
      <c r="D114" s="3" t="str">
        <f>CONCATENATE(Data!$C114,Data!$B114)</f>
        <v>2016-Q1</v>
      </c>
      <c r="E114" s="57">
        <v>134059339</v>
      </c>
      <c r="F114" s="57">
        <v>46668710</v>
      </c>
      <c r="G114" s="57">
        <f>48212921+2376449</f>
        <v>50589370</v>
      </c>
      <c r="H114" s="57">
        <v>121331384</v>
      </c>
      <c r="I114" s="57">
        <v>121331384</v>
      </c>
      <c r="J114" s="57">
        <v>133949657</v>
      </c>
      <c r="K114" s="57">
        <f>5035816+20005739</f>
        <v>25041555</v>
      </c>
      <c r="L114" s="56">
        <v>-30797966</v>
      </c>
      <c r="M114" s="57">
        <v>-19757208</v>
      </c>
      <c r="N114" s="2">
        <f t="shared" si="2"/>
        <v>1.1039984263263658</v>
      </c>
      <c r="O114" s="4">
        <f t="shared" si="3"/>
        <v>0.20638975815193866</v>
      </c>
    </row>
    <row r="115" spans="1:15" ht="15.75" customHeight="1">
      <c r="A115" s="1" t="s">
        <v>12</v>
      </c>
      <c r="B115" s="3" t="s">
        <v>49</v>
      </c>
      <c r="C115" s="3">
        <v>2016</v>
      </c>
      <c r="D115" s="3" t="str">
        <f>CONCATENATE(Data!$C115,Data!$B115)</f>
        <v>2016-Q1</v>
      </c>
      <c r="E115" s="57">
        <v>1470433976</v>
      </c>
      <c r="F115" s="57">
        <v>403290734</v>
      </c>
      <c r="G115" s="57">
        <f>40357824+1321580</f>
        <v>41679404</v>
      </c>
      <c r="H115" s="57">
        <v>826044728</v>
      </c>
      <c r="I115" s="57">
        <v>879756732</v>
      </c>
      <c r="J115" s="57">
        <v>806789301</v>
      </c>
      <c r="K115" s="57">
        <f>10415850+74310420</f>
        <v>84726270</v>
      </c>
      <c r="L115" s="56">
        <v>-11758839</v>
      </c>
      <c r="M115" s="57">
        <v>-4725714</v>
      </c>
      <c r="N115" s="2">
        <f t="shared" si="2"/>
        <v>0.9766896072969066</v>
      </c>
      <c r="O115" s="4">
        <f t="shared" si="3"/>
        <v>0.10256862265211382</v>
      </c>
    </row>
    <row r="116" spans="1:15" ht="15.75" customHeight="1">
      <c r="A116" s="1" t="s">
        <v>13</v>
      </c>
      <c r="B116" s="3" t="s">
        <v>49</v>
      </c>
      <c r="C116" s="3">
        <v>2016</v>
      </c>
      <c r="D116" s="3" t="str">
        <f>CONCATENATE(Data!$C116,Data!$B116)</f>
        <v>2016-Q1</v>
      </c>
      <c r="E116" s="57">
        <v>92015041</v>
      </c>
      <c r="F116" s="57">
        <v>17878139</v>
      </c>
      <c r="G116" s="57">
        <f>22442580+574547</f>
        <v>23017127</v>
      </c>
      <c r="H116" s="57">
        <v>37997641</v>
      </c>
      <c r="I116" s="57">
        <v>37997641</v>
      </c>
      <c r="J116" s="57">
        <v>34573155</v>
      </c>
      <c r="K116" s="57">
        <f>3537133+7660694</f>
        <v>11197827</v>
      </c>
      <c r="L116" s="56">
        <v>-5734187</v>
      </c>
      <c r="M116" s="57">
        <v>-3646368</v>
      </c>
      <c r="N116" s="2">
        <f t="shared" si="2"/>
        <v>0.9098763525872566</v>
      </c>
      <c r="O116" s="4">
        <f t="shared" si="3"/>
        <v>0.2946979524334155</v>
      </c>
    </row>
    <row r="117" spans="1:15" ht="15.75" customHeight="1">
      <c r="A117" s="1" t="s">
        <v>14</v>
      </c>
      <c r="B117" s="3" t="s">
        <v>49</v>
      </c>
      <c r="C117" s="3">
        <v>2016</v>
      </c>
      <c r="D117" s="3" t="str">
        <f>CONCATENATE(Data!$C117,Data!$B117)</f>
        <v>2016-Q1</v>
      </c>
      <c r="E117" s="57">
        <v>613940811</v>
      </c>
      <c r="F117" s="57">
        <v>63480219</v>
      </c>
      <c r="G117" s="57">
        <f>122289587+7346650</f>
        <v>129636237</v>
      </c>
      <c r="H117" s="57">
        <v>227511424</v>
      </c>
      <c r="I117" s="57">
        <v>227511424</v>
      </c>
      <c r="J117" s="57">
        <v>215392988</v>
      </c>
      <c r="K117" s="57">
        <f>4693954+39806606</f>
        <v>44500560</v>
      </c>
      <c r="L117" s="56">
        <v>-32382124</v>
      </c>
      <c r="M117" s="57">
        <v>-31065891</v>
      </c>
      <c r="N117" s="2">
        <f t="shared" si="2"/>
        <v>0.9467348241818397</v>
      </c>
      <c r="O117" s="4">
        <f t="shared" si="3"/>
        <v>0.19559703516250682</v>
      </c>
    </row>
    <row r="118" spans="1:15" ht="15.75" customHeight="1">
      <c r="A118" s="1" t="s">
        <v>19</v>
      </c>
      <c r="B118" s="3" t="s">
        <v>49</v>
      </c>
      <c r="C118" s="3">
        <v>2016</v>
      </c>
      <c r="D118" s="3" t="str">
        <f>CONCATENATE(Data!$C118,Data!$B118)</f>
        <v>2016-Q1</v>
      </c>
      <c r="E118" s="57">
        <v>46553231</v>
      </c>
      <c r="F118" s="57">
        <v>20811391</v>
      </c>
      <c r="G118" s="57">
        <f>17145107+605474</f>
        <v>17750581</v>
      </c>
      <c r="H118" s="57">
        <v>27695797</v>
      </c>
      <c r="I118" s="57">
        <v>27695797</v>
      </c>
      <c r="J118" s="57">
        <v>24931860</v>
      </c>
      <c r="K118" s="57">
        <f>1522967+3992710</f>
        <v>5515677</v>
      </c>
      <c r="L118" s="56">
        <v>-571695</v>
      </c>
      <c r="M118" s="57">
        <v>-420084</v>
      </c>
      <c r="N118" s="2">
        <f t="shared" si="2"/>
        <v>0.9002037384950503</v>
      </c>
      <c r="O118" s="4">
        <f t="shared" si="3"/>
        <v>0.19915213127825857</v>
      </c>
    </row>
    <row r="119" spans="1:15" ht="15.75" customHeight="1">
      <c r="A119" s="1" t="s">
        <v>15</v>
      </c>
      <c r="B119" s="3" t="s">
        <v>49</v>
      </c>
      <c r="C119" s="3">
        <v>2016</v>
      </c>
      <c r="D119" s="3" t="str">
        <f>CONCATENATE(Data!$C119,Data!$B119)</f>
        <v>2016-Q1</v>
      </c>
      <c r="E119" s="57">
        <v>226212776</v>
      </c>
      <c r="F119" s="57">
        <v>138563051</v>
      </c>
      <c r="G119" s="57">
        <f>55075956+1518950</f>
        <v>56594906</v>
      </c>
      <c r="H119" s="57">
        <v>139148096</v>
      </c>
      <c r="I119" s="57">
        <v>139148096</v>
      </c>
      <c r="J119" s="57">
        <v>113140295</v>
      </c>
      <c r="K119" s="57">
        <f>7475272+22567365</f>
        <v>30042637</v>
      </c>
      <c r="L119" s="56">
        <v>-4034836</v>
      </c>
      <c r="M119" s="57">
        <v>-5971515</v>
      </c>
      <c r="N119" s="2">
        <f t="shared" si="2"/>
        <v>0.8130926563307054</v>
      </c>
      <c r="O119" s="4">
        <f t="shared" si="3"/>
        <v>0.2159040465778274</v>
      </c>
    </row>
    <row r="120" spans="1:15" ht="15.75" customHeight="1">
      <c r="A120" s="1" t="s">
        <v>16</v>
      </c>
      <c r="B120" s="3" t="s">
        <v>49</v>
      </c>
      <c r="C120" s="3">
        <v>2016</v>
      </c>
      <c r="D120" s="3" t="str">
        <f>CONCATENATE(Data!$C120,Data!$B120)</f>
        <v>2016-Q1</v>
      </c>
      <c r="E120" s="57">
        <v>690864560</v>
      </c>
      <c r="F120" s="57">
        <v>465062765</v>
      </c>
      <c r="G120" s="57">
        <f>91513097+2237442</f>
        <v>93750539</v>
      </c>
      <c r="H120" s="57">
        <v>265517503</v>
      </c>
      <c r="I120" s="57">
        <v>265517503</v>
      </c>
      <c r="J120" s="57">
        <v>229818082</v>
      </c>
      <c r="K120" s="57">
        <f>5965450+25645124</f>
        <v>31610574</v>
      </c>
      <c r="L120" s="56">
        <v>1788847</v>
      </c>
      <c r="M120" s="57">
        <v>6642359</v>
      </c>
      <c r="N120" s="2">
        <f t="shared" si="2"/>
        <v>0.8655477676739074</v>
      </c>
      <c r="O120" s="4">
        <f t="shared" si="3"/>
        <v>0.11905269386327424</v>
      </c>
    </row>
    <row r="121" spans="1:15" ht="15.75" customHeight="1">
      <c r="A121" s="1" t="s">
        <v>17</v>
      </c>
      <c r="B121" s="3" t="s">
        <v>49</v>
      </c>
      <c r="C121" s="3">
        <v>2016</v>
      </c>
      <c r="D121" s="3" t="str">
        <f>CONCATENATE(Data!$C121,Data!$B121)</f>
        <v>2016-Q1</v>
      </c>
      <c r="E121" s="57">
        <v>1047318370</v>
      </c>
      <c r="F121" s="57">
        <v>626594948</v>
      </c>
      <c r="G121" s="57">
        <f>188564925+8073337</f>
        <v>196638262</v>
      </c>
      <c r="H121" s="57">
        <v>438877405</v>
      </c>
      <c r="I121" s="57">
        <v>438877405</v>
      </c>
      <c r="J121" s="57">
        <v>362994625</v>
      </c>
      <c r="K121" s="57">
        <f>27489852+58841945</f>
        <v>86331797</v>
      </c>
      <c r="L121" s="56">
        <v>-10449017</v>
      </c>
      <c r="M121" s="57">
        <v>-12717421</v>
      </c>
      <c r="N121" s="2">
        <f t="shared" si="2"/>
        <v>0.8270980024592517</v>
      </c>
      <c r="O121" s="4">
        <f t="shared" si="3"/>
        <v>0.19671050734543966</v>
      </c>
    </row>
    <row r="122" spans="1:15" ht="15.75" customHeight="1">
      <c r="A122" s="1" t="s">
        <v>20</v>
      </c>
      <c r="B122" s="3" t="s">
        <v>49</v>
      </c>
      <c r="C122" s="3">
        <v>2016</v>
      </c>
      <c r="D122" s="3" t="str">
        <f>CONCATENATE(Data!$C122,Data!$B122)</f>
        <v>2016-Q1</v>
      </c>
      <c r="E122" s="57">
        <v>17950592</v>
      </c>
      <c r="F122" s="57">
        <v>8366727</v>
      </c>
      <c r="G122" s="57">
        <f>8989859+183736</f>
        <v>9173595</v>
      </c>
      <c r="H122" s="57">
        <v>15238257</v>
      </c>
      <c r="I122" s="57">
        <v>17363790</v>
      </c>
      <c r="J122" s="57">
        <v>15207296</v>
      </c>
      <c r="K122" s="57">
        <f>739488+1249120</f>
        <v>1988608</v>
      </c>
      <c r="L122" s="56">
        <v>167885</v>
      </c>
      <c r="M122" s="57">
        <v>190901</v>
      </c>
      <c r="N122" s="2">
        <f t="shared" si="2"/>
        <v>0.9979682059437638</v>
      </c>
      <c r="O122" s="4">
        <f t="shared" si="3"/>
        <v>0.13050101465016636</v>
      </c>
    </row>
    <row r="123" spans="1:15" ht="15.75" customHeight="1">
      <c r="A123" s="1" t="s">
        <v>21</v>
      </c>
      <c r="B123" s="3" t="s">
        <v>49</v>
      </c>
      <c r="C123" s="3">
        <v>2016</v>
      </c>
      <c r="D123" s="3" t="str">
        <f>CONCATENATE(Data!$C123,Data!$B123)</f>
        <v>2016-Q1</v>
      </c>
      <c r="E123" s="57">
        <v>160652479</v>
      </c>
      <c r="F123" s="57">
        <v>34738097</v>
      </c>
      <c r="G123" s="57">
        <f>85735752+2870911</f>
        <v>88606663</v>
      </c>
      <c r="H123" s="57">
        <v>125553079</v>
      </c>
      <c r="I123" s="57">
        <v>129855529</v>
      </c>
      <c r="J123" s="57">
        <v>120159698</v>
      </c>
      <c r="K123" s="57">
        <f>6847034+14012686</f>
        <v>20859720</v>
      </c>
      <c r="L123" s="56">
        <v>-12344173</v>
      </c>
      <c r="M123" s="57">
        <v>-11608360</v>
      </c>
      <c r="N123" s="2">
        <f t="shared" si="2"/>
        <v>0.9570430208246824</v>
      </c>
      <c r="O123" s="4">
        <f t="shared" si="3"/>
        <v>0.16614263995867437</v>
      </c>
    </row>
    <row r="124" spans="1:15" ht="15.75" customHeight="1">
      <c r="A124" s="1" t="s">
        <v>36</v>
      </c>
      <c r="B124" s="3" t="s">
        <v>49</v>
      </c>
      <c r="C124" s="3">
        <v>2016</v>
      </c>
      <c r="D124" s="3" t="str">
        <f>CONCATENATE(Data!$C124,Data!$B124)</f>
        <v>2016-Q1</v>
      </c>
      <c r="E124" s="57">
        <v>5105975</v>
      </c>
      <c r="F124" s="57">
        <v>3205467</v>
      </c>
      <c r="G124" s="57">
        <f>1177944+65671</f>
        <v>1243615</v>
      </c>
      <c r="H124" s="57">
        <v>1647786</v>
      </c>
      <c r="I124" s="57">
        <v>1647786</v>
      </c>
      <c r="J124" s="57">
        <v>1362050</v>
      </c>
      <c r="K124" s="57">
        <f>117657+679187</f>
        <v>796844</v>
      </c>
      <c r="L124" s="56">
        <v>-533531</v>
      </c>
      <c r="M124" s="57">
        <v>-531648</v>
      </c>
      <c r="N124" s="2">
        <f t="shared" si="2"/>
        <v>0.8265939873260242</v>
      </c>
      <c r="O124" s="4">
        <f t="shared" si="3"/>
        <v>0.4835846402384776</v>
      </c>
    </row>
    <row r="125" spans="1:15" ht="15.75" customHeight="1">
      <c r="A125" s="1" t="s">
        <v>18</v>
      </c>
      <c r="B125" s="3" t="s">
        <v>50</v>
      </c>
      <c r="C125" s="3">
        <v>2016</v>
      </c>
      <c r="D125" s="3" t="str">
        <f>CONCATENATE(Data!$C125,Data!$B125)</f>
        <v>2016-Q2</v>
      </c>
      <c r="E125" s="57">
        <v>56818416</v>
      </c>
      <c r="F125" s="57">
        <v>28218210</v>
      </c>
      <c r="G125" s="57">
        <f>13758453+27530</f>
        <v>13785983</v>
      </c>
      <c r="H125" s="57">
        <v>102652836</v>
      </c>
      <c r="I125" s="57">
        <v>102652836</v>
      </c>
      <c r="J125" s="57">
        <v>86673735</v>
      </c>
      <c r="K125" s="57">
        <f>3593918+12682149</f>
        <v>16276067</v>
      </c>
      <c r="L125" s="56">
        <v>-296965</v>
      </c>
      <c r="M125" s="57">
        <v>-1137087</v>
      </c>
      <c r="N125" s="2">
        <f t="shared" si="2"/>
        <v>0.8443384360077495</v>
      </c>
      <c r="O125" s="4">
        <f t="shared" si="3"/>
        <v>0.15855447968334746</v>
      </c>
    </row>
    <row r="126" spans="1:15" ht="15.75" customHeight="1">
      <c r="A126" s="1" t="s">
        <v>11</v>
      </c>
      <c r="B126" s="3" t="s">
        <v>50</v>
      </c>
      <c r="C126" s="3">
        <v>2016</v>
      </c>
      <c r="D126" s="3" t="str">
        <f>CONCATENATE(Data!$C126,Data!$B126)</f>
        <v>2016-Q2</v>
      </c>
      <c r="E126" s="57">
        <v>166165011</v>
      </c>
      <c r="F126" s="57">
        <v>70165011</v>
      </c>
      <c r="G126" s="57">
        <f>47467366+2036207</f>
        <v>49503573</v>
      </c>
      <c r="H126" s="57">
        <v>245420608</v>
      </c>
      <c r="I126" s="57">
        <v>245420608</v>
      </c>
      <c r="J126" s="57">
        <v>245038326</v>
      </c>
      <c r="K126" s="57">
        <f>10358609+32393936</f>
        <v>42752545</v>
      </c>
      <c r="L126" s="56">
        <v>-42319337</v>
      </c>
      <c r="M126" s="57">
        <v>-29059416</v>
      </c>
      <c r="N126" s="2">
        <f t="shared" si="2"/>
        <v>0.9984423394468976</v>
      </c>
      <c r="O126" s="4">
        <f t="shared" si="3"/>
        <v>0.17420112087734702</v>
      </c>
    </row>
    <row r="127" spans="1:15" ht="15.75" customHeight="1">
      <c r="A127" s="1" t="s">
        <v>12</v>
      </c>
      <c r="B127" s="3" t="s">
        <v>50</v>
      </c>
      <c r="C127" s="3">
        <v>2016</v>
      </c>
      <c r="D127" s="3" t="str">
        <f>CONCATENATE(Data!$C127,Data!$B127)</f>
        <v>2016-Q2</v>
      </c>
      <c r="E127" s="57">
        <v>1426277499</v>
      </c>
      <c r="F127" s="57">
        <v>476756978</v>
      </c>
      <c r="G127" s="57">
        <f>29635489</f>
        <v>29635489</v>
      </c>
      <c r="H127" s="57">
        <v>1654027891</v>
      </c>
      <c r="I127" s="57">
        <v>1765591373</v>
      </c>
      <c r="J127" s="57">
        <v>1598270880</v>
      </c>
      <c r="K127" s="57">
        <f>21260140+120781505</f>
        <v>142041645</v>
      </c>
      <c r="L127" s="56">
        <v>25278848</v>
      </c>
      <c r="M127" s="57">
        <v>40915023</v>
      </c>
      <c r="N127" s="2">
        <f t="shared" si="2"/>
        <v>0.9662901627576</v>
      </c>
      <c r="O127" s="4">
        <f t="shared" si="3"/>
        <v>0.08587620908503774</v>
      </c>
    </row>
    <row r="128" spans="1:15" ht="15.75" customHeight="1">
      <c r="A128" s="1" t="s">
        <v>13</v>
      </c>
      <c r="B128" s="3" t="s">
        <v>50</v>
      </c>
      <c r="C128" s="3">
        <v>2016</v>
      </c>
      <c r="D128" s="3" t="str">
        <f>CONCATENATE(Data!$C128,Data!$B128)</f>
        <v>2016-Q2</v>
      </c>
      <c r="E128" s="57">
        <v>91841793</v>
      </c>
      <c r="F128" s="57">
        <v>15361711</v>
      </c>
      <c r="G128" s="57">
        <f>22164514+475674</f>
        <v>22640188</v>
      </c>
      <c r="H128" s="57">
        <v>72703596</v>
      </c>
      <c r="I128" s="57">
        <v>72703596</v>
      </c>
      <c r="J128" s="57">
        <v>67843412</v>
      </c>
      <c r="K128" s="57">
        <f>7710794+11282863</f>
        <v>18993657</v>
      </c>
      <c r="L128" s="56">
        <v>-10055165</v>
      </c>
      <c r="M128" s="57">
        <v>-6166971</v>
      </c>
      <c r="N128" s="2">
        <f t="shared" si="2"/>
        <v>0.9331507068783778</v>
      </c>
      <c r="O128" s="4">
        <f t="shared" si="3"/>
        <v>0.26124783428869186</v>
      </c>
    </row>
    <row r="129" spans="1:15" ht="15.75" customHeight="1">
      <c r="A129" s="1" t="s">
        <v>14</v>
      </c>
      <c r="B129" s="3" t="s">
        <v>50</v>
      </c>
      <c r="C129" s="3">
        <v>2016</v>
      </c>
      <c r="D129" s="3" t="str">
        <f>CONCATENATE(Data!$C129,Data!$B129)</f>
        <v>2016-Q2</v>
      </c>
      <c r="E129" s="57">
        <v>597823349</v>
      </c>
      <c r="F129" s="57">
        <v>67692912</v>
      </c>
      <c r="G129" s="57">
        <f>108659659+6073400</f>
        <v>114733059</v>
      </c>
      <c r="H129" s="57">
        <v>456736558</v>
      </c>
      <c r="I129" s="57">
        <v>456736558</v>
      </c>
      <c r="J129" s="57">
        <v>442771728</v>
      </c>
      <c r="K129" s="57">
        <f>12157327+38107971</f>
        <v>50265298</v>
      </c>
      <c r="L129" s="56">
        <v>-36300468</v>
      </c>
      <c r="M129" s="57">
        <v>-33029881</v>
      </c>
      <c r="N129" s="2">
        <f t="shared" si="2"/>
        <v>0.9694247597320642</v>
      </c>
      <c r="O129" s="4">
        <f t="shared" si="3"/>
        <v>0.11005315234695971</v>
      </c>
    </row>
    <row r="130" spans="1:15" ht="15.75" customHeight="1">
      <c r="A130" s="1" t="s">
        <v>19</v>
      </c>
      <c r="B130" s="3" t="s">
        <v>50</v>
      </c>
      <c r="C130" s="3">
        <v>2016</v>
      </c>
      <c r="D130" s="3" t="str">
        <f>CONCATENATE(Data!$C130,Data!$B130)</f>
        <v>2016-Q2</v>
      </c>
      <c r="E130" s="57">
        <v>28304058</v>
      </c>
      <c r="F130" s="57">
        <v>4435426</v>
      </c>
      <c r="G130" s="57">
        <f>14994696</f>
        <v>14994696</v>
      </c>
      <c r="H130" s="57">
        <v>41979520</v>
      </c>
      <c r="I130" s="57">
        <v>41979520</v>
      </c>
      <c r="J130" s="57">
        <v>50098856</v>
      </c>
      <c r="K130" s="57">
        <f>2896676+8718044</f>
        <v>11614720</v>
      </c>
      <c r="L130" s="56">
        <v>-16421057</v>
      </c>
      <c r="M130" s="57">
        <v>-16134405</v>
      </c>
      <c r="N130" s="2">
        <f aca="true" t="shared" si="4" ref="N130:N193">_xlfn.IFERROR(SUM(J130/H130),"N/A")</f>
        <v>1.1934118351043557</v>
      </c>
      <c r="O130" s="4">
        <f aca="true" t="shared" si="5" ref="O130:O193">_xlfn.IFERROR(SUM(K130/H130),"N/A")</f>
        <v>0.2766758648026466</v>
      </c>
    </row>
    <row r="131" spans="1:15" ht="15.75" customHeight="1">
      <c r="A131" s="1" t="s">
        <v>15</v>
      </c>
      <c r="B131" s="3" t="s">
        <v>50</v>
      </c>
      <c r="C131" s="3">
        <v>2016</v>
      </c>
      <c r="D131" s="3" t="str">
        <f>CONCATENATE(Data!$C131,Data!$B131)</f>
        <v>2016-Q2</v>
      </c>
      <c r="E131" s="57">
        <v>230136422</v>
      </c>
      <c r="F131" s="57">
        <v>142518313</v>
      </c>
      <c r="G131" s="57">
        <f>56521162+1556265</f>
        <v>58077427</v>
      </c>
      <c r="H131" s="57">
        <v>271310123</v>
      </c>
      <c r="I131" s="57">
        <v>271310123</v>
      </c>
      <c r="J131" s="57">
        <v>236609334</v>
      </c>
      <c r="K131" s="57">
        <f>12219865+36890984</f>
        <v>49110849</v>
      </c>
      <c r="L131" s="56">
        <v>-14410060</v>
      </c>
      <c r="M131" s="57">
        <v>-9446007</v>
      </c>
      <c r="N131" s="2">
        <f t="shared" si="4"/>
        <v>0.872099173387644</v>
      </c>
      <c r="O131" s="4">
        <f t="shared" si="5"/>
        <v>0.18101369921976704</v>
      </c>
    </row>
    <row r="132" spans="1:15" ht="15.75" customHeight="1">
      <c r="A132" s="1" t="s">
        <v>16</v>
      </c>
      <c r="B132" s="3" t="s">
        <v>50</v>
      </c>
      <c r="C132" s="3">
        <v>2016</v>
      </c>
      <c r="D132" s="3" t="str">
        <f>CONCATENATE(Data!$C132,Data!$B132)</f>
        <v>2016-Q2</v>
      </c>
      <c r="E132" s="57">
        <v>764043303</v>
      </c>
      <c r="F132" s="57">
        <v>462568224</v>
      </c>
      <c r="G132" s="57">
        <f>93618023+2237442</f>
        <v>95855465</v>
      </c>
      <c r="H132" s="57">
        <v>543299527</v>
      </c>
      <c r="I132" s="57">
        <v>543299527</v>
      </c>
      <c r="J132" s="57">
        <f>493181194+2300000</f>
        <v>495481194</v>
      </c>
      <c r="K132" s="57">
        <f>11622089+25959933</f>
        <v>37582022</v>
      </c>
      <c r="L132" s="56">
        <v>-9763689</v>
      </c>
      <c r="M132" s="57">
        <v>3572971</v>
      </c>
      <c r="N132" s="2">
        <f t="shared" si="4"/>
        <v>0.9119853218646369</v>
      </c>
      <c r="O132" s="4">
        <f t="shared" si="5"/>
        <v>0.06917366964687234</v>
      </c>
    </row>
    <row r="133" spans="1:15" ht="15.75" customHeight="1">
      <c r="A133" s="1" t="s">
        <v>17</v>
      </c>
      <c r="B133" s="3" t="s">
        <v>50</v>
      </c>
      <c r="C133" s="3">
        <v>2016</v>
      </c>
      <c r="D133" s="3" t="str">
        <f>CONCATENATE(Data!$C133,Data!$B133)</f>
        <v>2016-Q2</v>
      </c>
      <c r="E133" s="57">
        <v>1078714155</v>
      </c>
      <c r="F133" s="57">
        <v>642584138</v>
      </c>
      <c r="G133" s="57">
        <f>188526167+7995665</f>
        <v>196521832</v>
      </c>
      <c r="H133" s="57">
        <v>885495136</v>
      </c>
      <c r="I133" s="57">
        <v>885495136</v>
      </c>
      <c r="J133" s="57">
        <v>744525530</v>
      </c>
      <c r="K133" s="57">
        <f>57200398+79803157</f>
        <v>137003555</v>
      </c>
      <c r="L133" s="56">
        <v>3966051</v>
      </c>
      <c r="M133" s="57">
        <v>3047356</v>
      </c>
      <c r="N133" s="2">
        <f t="shared" si="4"/>
        <v>0.8408013773663462</v>
      </c>
      <c r="O133" s="4">
        <f t="shared" si="5"/>
        <v>0.15471971491439113</v>
      </c>
    </row>
    <row r="134" spans="1:15" ht="15.75" customHeight="1">
      <c r="A134" s="1" t="s">
        <v>20</v>
      </c>
      <c r="B134" s="3" t="s">
        <v>50</v>
      </c>
      <c r="C134" s="3">
        <v>2016</v>
      </c>
      <c r="D134" s="3" t="str">
        <f>CONCATENATE(Data!$C134,Data!$B134)</f>
        <v>2016-Q2</v>
      </c>
      <c r="E134" s="57">
        <v>16995458</v>
      </c>
      <c r="F134" s="57">
        <v>7818779</v>
      </c>
      <c r="G134" s="57">
        <f>8190919+160815</f>
        <v>8351734</v>
      </c>
      <c r="H134" s="57">
        <v>31077851</v>
      </c>
      <c r="I134" s="57">
        <v>35373914</v>
      </c>
      <c r="J134" s="57">
        <v>30896110</v>
      </c>
      <c r="K134" s="57">
        <f>1667554+2603382</f>
        <v>4270936</v>
      </c>
      <c r="L134" s="56">
        <v>206868</v>
      </c>
      <c r="M134" s="57">
        <v>186007</v>
      </c>
      <c r="N134" s="2">
        <f t="shared" si="4"/>
        <v>0.9941520731275789</v>
      </c>
      <c r="O134" s="4">
        <f t="shared" si="5"/>
        <v>0.13742700549018014</v>
      </c>
    </row>
    <row r="135" spans="1:15" ht="15.75" customHeight="1">
      <c r="A135" s="1" t="s">
        <v>21</v>
      </c>
      <c r="B135" s="3" t="s">
        <v>50</v>
      </c>
      <c r="C135" s="3">
        <v>2016</v>
      </c>
      <c r="D135" s="3" t="str">
        <f>CONCATENATE(Data!$C135,Data!$B135)</f>
        <v>2016-Q2</v>
      </c>
      <c r="E135" s="57">
        <v>173090375</v>
      </c>
      <c r="F135" s="57">
        <v>43206476</v>
      </c>
      <c r="G135" s="57">
        <f>99891930+860587</f>
        <v>100752517</v>
      </c>
      <c r="H135" s="57">
        <v>255034160</v>
      </c>
      <c r="I135" s="57">
        <v>264024211</v>
      </c>
      <c r="J135" s="57">
        <v>243971445</v>
      </c>
      <c r="K135" s="57">
        <f>2864679+26929316</f>
        <v>29793995</v>
      </c>
      <c r="L135" s="56">
        <v>-7045018</v>
      </c>
      <c r="M135" s="57">
        <v>-7321376</v>
      </c>
      <c r="N135" s="2">
        <f t="shared" si="4"/>
        <v>0.9566226147901128</v>
      </c>
      <c r="O135" s="4">
        <f t="shared" si="5"/>
        <v>0.1168235463045421</v>
      </c>
    </row>
    <row r="136" spans="1:15" ht="15.75" customHeight="1">
      <c r="A136" s="1" t="s">
        <v>36</v>
      </c>
      <c r="B136" s="3" t="s">
        <v>50</v>
      </c>
      <c r="C136" s="3">
        <v>2016</v>
      </c>
      <c r="D136" s="3" t="str">
        <f>CONCATENATE(Data!$C136,Data!$B136)</f>
        <v>2016-Q2</v>
      </c>
      <c r="E136" s="57">
        <v>5583760</v>
      </c>
      <c r="F136" s="57">
        <v>3003077</v>
      </c>
      <c r="G136" s="57">
        <f>1602435+87852</f>
        <v>1690287</v>
      </c>
      <c r="H136" s="57">
        <v>3573708</v>
      </c>
      <c r="I136" s="57">
        <v>3573708</v>
      </c>
      <c r="J136" s="57">
        <v>2633883</v>
      </c>
      <c r="K136" s="57">
        <f>265574+1276370</f>
        <v>1541944</v>
      </c>
      <c r="L136" s="56">
        <v>-646723</v>
      </c>
      <c r="M136" s="57">
        <v>-642587</v>
      </c>
      <c r="N136" s="2">
        <f t="shared" si="4"/>
        <v>0.7370168463679742</v>
      </c>
      <c r="O136" s="4">
        <f t="shared" si="5"/>
        <v>0.431468939264204</v>
      </c>
    </row>
    <row r="137" spans="1:15" ht="15.75" customHeight="1">
      <c r="A137" s="1" t="s">
        <v>18</v>
      </c>
      <c r="B137" s="3" t="s">
        <v>51</v>
      </c>
      <c r="C137" s="3">
        <v>2016</v>
      </c>
      <c r="D137" s="3" t="str">
        <f>CONCATENATE(Data!$C137,Data!$B137)</f>
        <v>2016-Q3</v>
      </c>
      <c r="E137" s="57">
        <v>72121937</v>
      </c>
      <c r="F137" s="57">
        <v>30342104</v>
      </c>
      <c r="G137" s="57">
        <v>12157905</v>
      </c>
      <c r="H137" s="57">
        <v>156832112</v>
      </c>
      <c r="I137" s="57">
        <v>156832112</v>
      </c>
      <c r="J137" s="57">
        <v>132549969</v>
      </c>
      <c r="K137" s="57">
        <v>22859103</v>
      </c>
      <c r="L137" s="56">
        <v>1423040</v>
      </c>
      <c r="M137" s="57">
        <v>-286758</v>
      </c>
      <c r="N137" s="2">
        <f t="shared" si="4"/>
        <v>0.8451711024589148</v>
      </c>
      <c r="O137" s="4">
        <f t="shared" si="5"/>
        <v>0.1457552455838891</v>
      </c>
    </row>
    <row r="138" spans="1:15" ht="15.75" customHeight="1">
      <c r="A138" s="1" t="s">
        <v>11</v>
      </c>
      <c r="B138" s="3" t="s">
        <v>51</v>
      </c>
      <c r="C138" s="3">
        <v>2016</v>
      </c>
      <c r="D138" s="3" t="str">
        <f>CONCATENATE(Data!$C138,Data!$B138)</f>
        <v>2016-Q3</v>
      </c>
      <c r="E138" s="57">
        <v>194368973</v>
      </c>
      <c r="F138" s="57">
        <v>85622192</v>
      </c>
      <c r="G138" s="57">
        <v>48773080</v>
      </c>
      <c r="H138" s="57">
        <v>374895382</v>
      </c>
      <c r="I138" s="57">
        <v>374895382</v>
      </c>
      <c r="J138" s="57">
        <v>362682949</v>
      </c>
      <c r="K138" s="57">
        <v>61004263</v>
      </c>
      <c r="L138" s="56">
        <v>-41862179</v>
      </c>
      <c r="M138" s="57">
        <v>-27558682</v>
      </c>
      <c r="N138" s="2">
        <f t="shared" si="4"/>
        <v>0.9674244240223797</v>
      </c>
      <c r="O138" s="4">
        <f t="shared" si="5"/>
        <v>0.16272343146654178</v>
      </c>
    </row>
    <row r="139" spans="1:15" ht="15.75" customHeight="1">
      <c r="A139" s="1" t="s">
        <v>12</v>
      </c>
      <c r="B139" s="3" t="s">
        <v>51</v>
      </c>
      <c r="C139" s="3">
        <v>2016</v>
      </c>
      <c r="D139" s="3" t="str">
        <f>CONCATENATE(Data!$C139,Data!$B139)</f>
        <v>2016-Q3</v>
      </c>
      <c r="E139" s="57">
        <v>1454590120</v>
      </c>
      <c r="F139" s="57">
        <v>495150017</v>
      </c>
      <c r="G139" s="57">
        <v>49019958</v>
      </c>
      <c r="H139" s="57">
        <v>2483603665</v>
      </c>
      <c r="I139" s="57">
        <v>2650108627</v>
      </c>
      <c r="J139" s="57">
        <v>2420587219</v>
      </c>
      <c r="K139" s="57">
        <v>199741302</v>
      </c>
      <c r="L139" s="56">
        <v>29780106</v>
      </c>
      <c r="M139" s="57">
        <v>51432860</v>
      </c>
      <c r="N139" s="2">
        <f t="shared" si="4"/>
        <v>0.9746270119954908</v>
      </c>
      <c r="O139" s="4">
        <f t="shared" si="5"/>
        <v>0.08042398423502085</v>
      </c>
    </row>
    <row r="140" spans="1:15" ht="15.75" customHeight="1">
      <c r="A140" s="1" t="s">
        <v>13</v>
      </c>
      <c r="B140" s="3" t="s">
        <v>51</v>
      </c>
      <c r="C140" s="3">
        <v>2016</v>
      </c>
      <c r="D140" s="3" t="str">
        <f>CONCATENATE(Data!$C140,Data!$B140)</f>
        <v>2016-Q3</v>
      </c>
      <c r="E140" s="57">
        <v>61736705</v>
      </c>
      <c r="F140" s="57">
        <v>13760441</v>
      </c>
      <c r="G140" s="57">
        <v>214611138</v>
      </c>
      <c r="H140" s="57">
        <v>108198632</v>
      </c>
      <c r="I140" s="57">
        <v>108198632</v>
      </c>
      <c r="J140" s="57">
        <v>101194718</v>
      </c>
      <c r="K140" s="57">
        <v>26993165</v>
      </c>
      <c r="L140" s="56">
        <v>-13871789</v>
      </c>
      <c r="M140" s="57">
        <v>-7789277</v>
      </c>
      <c r="N140" s="2">
        <f t="shared" si="4"/>
        <v>0.935267998582459</v>
      </c>
      <c r="O140" s="4">
        <f t="shared" si="5"/>
        <v>0.2494778769476494</v>
      </c>
    </row>
    <row r="141" spans="1:15" ht="15.75" customHeight="1">
      <c r="A141" s="1" t="s">
        <v>14</v>
      </c>
      <c r="B141" s="3" t="s">
        <v>51</v>
      </c>
      <c r="C141" s="3">
        <v>2016</v>
      </c>
      <c r="D141" s="3" t="str">
        <f>CONCATENATE(Data!$C141,Data!$B141)</f>
        <v>2016-Q3</v>
      </c>
      <c r="E141" s="57">
        <v>595073216</v>
      </c>
      <c r="F141" s="57">
        <v>59507921</v>
      </c>
      <c r="G141" s="57">
        <v>129317240</v>
      </c>
      <c r="H141" s="57">
        <v>666134022</v>
      </c>
      <c r="I141" s="57">
        <v>666134022</v>
      </c>
      <c r="J141" s="57">
        <v>643324934</v>
      </c>
      <c r="K141" s="57">
        <v>60464762</v>
      </c>
      <c r="L141" s="56">
        <v>-37655674</v>
      </c>
      <c r="M141" s="57">
        <v>-33476783</v>
      </c>
      <c r="N141" s="2">
        <f t="shared" si="4"/>
        <v>0.9657590105794056</v>
      </c>
      <c r="O141" s="4">
        <f t="shared" si="5"/>
        <v>0.09076966496690962</v>
      </c>
    </row>
    <row r="142" spans="1:15" ht="15.75" customHeight="1">
      <c r="A142" s="1" t="s">
        <v>19</v>
      </c>
      <c r="B142" s="3" t="s">
        <v>51</v>
      </c>
      <c r="C142" s="3">
        <v>2016</v>
      </c>
      <c r="D142" s="3" t="str">
        <f>CONCATENATE(Data!$C142,Data!$B142)</f>
        <v>2016-Q3</v>
      </c>
      <c r="E142" s="57">
        <v>26877491</v>
      </c>
      <c r="F142" s="57">
        <v>1021121</v>
      </c>
      <c r="G142" s="57">
        <v>19252303</v>
      </c>
      <c r="H142" s="57">
        <v>49905539</v>
      </c>
      <c r="I142" s="57">
        <v>49905539</v>
      </c>
      <c r="J142" s="57">
        <v>60285019</v>
      </c>
      <c r="K142" s="57">
        <v>15159043</v>
      </c>
      <c r="L142" s="56">
        <v>-20425524</v>
      </c>
      <c r="M142" s="57">
        <v>-19584295</v>
      </c>
      <c r="N142" s="2">
        <f t="shared" si="4"/>
        <v>1.2079825247453995</v>
      </c>
      <c r="O142" s="4">
        <f t="shared" si="5"/>
        <v>0.30375471949115707</v>
      </c>
    </row>
    <row r="143" spans="1:15" ht="15.75" customHeight="1">
      <c r="A143" s="1" t="s">
        <v>15</v>
      </c>
      <c r="B143" s="3" t="s">
        <v>51</v>
      </c>
      <c r="C143" s="3">
        <v>2016</v>
      </c>
      <c r="D143" s="3" t="str">
        <f>CONCATENATE(Data!$C143,Data!$B143)</f>
        <v>2016-Q3</v>
      </c>
      <c r="E143" s="57">
        <v>221027079</v>
      </c>
      <c r="F143" s="57">
        <v>136848461</v>
      </c>
      <c r="G143" s="57">
        <v>61151306</v>
      </c>
      <c r="H143" s="57">
        <v>408963123</v>
      </c>
      <c r="I143" s="57">
        <v>408963123</v>
      </c>
      <c r="J143" s="57">
        <v>357208666</v>
      </c>
      <c r="K143" s="57">
        <v>69272735</v>
      </c>
      <c r="L143" s="56">
        <v>-17518278</v>
      </c>
      <c r="M143" s="57">
        <v>-10479552</v>
      </c>
      <c r="N143" s="2">
        <f t="shared" si="4"/>
        <v>0.8734495750610747</v>
      </c>
      <c r="O143" s="4">
        <f t="shared" si="5"/>
        <v>0.16938626273156662</v>
      </c>
    </row>
    <row r="144" spans="1:15" ht="15.75" customHeight="1">
      <c r="A144" s="1" t="s">
        <v>16</v>
      </c>
      <c r="B144" s="3" t="s">
        <v>51</v>
      </c>
      <c r="C144" s="3">
        <v>2016</v>
      </c>
      <c r="D144" s="3" t="str">
        <f>CONCATENATE(Data!$C144,Data!$B144)</f>
        <v>2016-Q3</v>
      </c>
      <c r="E144" s="57">
        <v>769050752</v>
      </c>
      <c r="F144" s="57">
        <v>471623740</v>
      </c>
      <c r="G144" s="57">
        <v>107553075</v>
      </c>
      <c r="H144" s="57">
        <v>827040398</v>
      </c>
      <c r="I144" s="57">
        <v>827040398</v>
      </c>
      <c r="J144" s="57">
        <v>769716258</v>
      </c>
      <c r="K144" s="57">
        <v>83559652</v>
      </c>
      <c r="L144" s="56">
        <v>-10866771</v>
      </c>
      <c r="M144" s="57">
        <v>2525917</v>
      </c>
      <c r="N144" s="2">
        <f t="shared" si="4"/>
        <v>0.9306876179946896</v>
      </c>
      <c r="O144" s="4">
        <f t="shared" si="5"/>
        <v>0.10103454704518557</v>
      </c>
    </row>
    <row r="145" spans="1:15" ht="15.75" customHeight="1">
      <c r="A145" s="1" t="s">
        <v>17</v>
      </c>
      <c r="B145" s="3" t="s">
        <v>51</v>
      </c>
      <c r="C145" s="3">
        <v>2016</v>
      </c>
      <c r="D145" s="3" t="str">
        <f>CONCATENATE(Data!$C145,Data!$B145)</f>
        <v>2016-Q3</v>
      </c>
      <c r="E145" s="57">
        <v>1142179777</v>
      </c>
      <c r="F145" s="57">
        <v>661129931</v>
      </c>
      <c r="G145" s="57">
        <v>206038696</v>
      </c>
      <c r="H145" s="57">
        <v>1339485442</v>
      </c>
      <c r="I145" s="57">
        <v>1339485442</v>
      </c>
      <c r="J145" s="57">
        <v>1127383631</v>
      </c>
      <c r="K145" s="57">
        <v>192542948</v>
      </c>
      <c r="L145" s="56">
        <v>19558863</v>
      </c>
      <c r="M145" s="57">
        <v>22904087</v>
      </c>
      <c r="N145" s="2">
        <f t="shared" si="4"/>
        <v>0.8416542618908135</v>
      </c>
      <c r="O145" s="4">
        <f t="shared" si="5"/>
        <v>0.14374396463205458</v>
      </c>
    </row>
    <row r="146" spans="1:15" ht="15.75" customHeight="1">
      <c r="A146" s="1" t="s">
        <v>20</v>
      </c>
      <c r="B146" s="3" t="s">
        <v>51</v>
      </c>
      <c r="C146" s="3">
        <v>2016</v>
      </c>
      <c r="D146" s="3" t="str">
        <f>CONCATENATE(Data!$C146,Data!$B146)</f>
        <v>2016-Q3</v>
      </c>
      <c r="E146" s="57">
        <v>24469482</v>
      </c>
      <c r="F146" s="57">
        <v>8402604</v>
      </c>
      <c r="G146" s="57">
        <v>10657119</v>
      </c>
      <c r="H146" s="57">
        <v>48867381</v>
      </c>
      <c r="I146" s="57">
        <v>55409884</v>
      </c>
      <c r="J146" s="57">
        <v>46972713</v>
      </c>
      <c r="K146" s="57">
        <v>6718858</v>
      </c>
      <c r="L146" s="56">
        <v>1618314</v>
      </c>
      <c r="M146" s="57">
        <v>1384370</v>
      </c>
      <c r="N146" s="2">
        <f t="shared" si="4"/>
        <v>0.961228370311067</v>
      </c>
      <c r="O146" s="4">
        <f t="shared" si="5"/>
        <v>0.1374916736380859</v>
      </c>
    </row>
    <row r="147" spans="1:15" ht="15.75" customHeight="1">
      <c r="A147" s="1" t="s">
        <v>21</v>
      </c>
      <c r="B147" s="3" t="s">
        <v>51</v>
      </c>
      <c r="C147" s="3">
        <v>2016</v>
      </c>
      <c r="D147" s="3" t="str">
        <f>CONCATENATE(Data!$C147,Data!$B147)</f>
        <v>2016-Q3</v>
      </c>
      <c r="E147" s="57">
        <v>179791868</v>
      </c>
      <c r="F147" s="57">
        <v>62308265</v>
      </c>
      <c r="G147" s="57">
        <v>94086126</v>
      </c>
      <c r="H147" s="57">
        <v>379542999</v>
      </c>
      <c r="I147" s="57">
        <v>394525511</v>
      </c>
      <c r="J147" s="57">
        <v>357473914</v>
      </c>
      <c r="K147" s="57">
        <v>38833695</v>
      </c>
      <c r="L147" s="56">
        <v>1963810</v>
      </c>
      <c r="M147" s="57">
        <v>2208835</v>
      </c>
      <c r="N147" s="2">
        <f t="shared" si="4"/>
        <v>0.9418535315941897</v>
      </c>
      <c r="O147" s="4">
        <f t="shared" si="5"/>
        <v>0.10231698411594202</v>
      </c>
    </row>
    <row r="148" spans="1:15" ht="15.75" customHeight="1">
      <c r="A148" s="1" t="s">
        <v>36</v>
      </c>
      <c r="B148" s="3" t="s">
        <v>51</v>
      </c>
      <c r="C148" s="3">
        <v>2016</v>
      </c>
      <c r="D148" s="3" t="str">
        <f>CONCATENATE(Data!$C148,Data!$B148)</f>
        <v>2016-Q3</v>
      </c>
      <c r="E148" s="57">
        <v>5967998</v>
      </c>
      <c r="F148" s="57">
        <v>3433264</v>
      </c>
      <c r="G148" s="57">
        <v>920829</v>
      </c>
      <c r="H148" s="57">
        <v>5741648</v>
      </c>
      <c r="I148" s="57">
        <v>5741648</v>
      </c>
      <c r="J148" s="57">
        <v>4516077</v>
      </c>
      <c r="K148" s="57">
        <v>2301514</v>
      </c>
      <c r="L148" s="56">
        <v>1100907</v>
      </c>
      <c r="M148" s="57">
        <v>1094294</v>
      </c>
      <c r="N148" s="2">
        <f t="shared" si="4"/>
        <v>0.7865471725191095</v>
      </c>
      <c r="O148" s="4">
        <f t="shared" si="5"/>
        <v>0.4008455412104678</v>
      </c>
    </row>
    <row r="149" spans="1:15" ht="15.75" customHeight="1">
      <c r="A149" s="1" t="s">
        <v>18</v>
      </c>
      <c r="B149" s="3" t="s">
        <v>52</v>
      </c>
      <c r="C149" s="3">
        <v>2016</v>
      </c>
      <c r="D149" s="3" t="str">
        <f>CONCATENATE(Data!$C149,Data!$B149)</f>
        <v>2016-Q4</v>
      </c>
      <c r="E149" s="57">
        <v>50750554</v>
      </c>
      <c r="F149" s="57">
        <v>25571979</v>
      </c>
      <c r="G149" s="57">
        <v>11170488</v>
      </c>
      <c r="H149" s="57">
        <v>203293456</v>
      </c>
      <c r="I149" s="57">
        <v>203293456</v>
      </c>
      <c r="J149" s="57">
        <v>175017733</v>
      </c>
      <c r="K149" s="57">
        <v>29380263</v>
      </c>
      <c r="L149" s="56">
        <v>-2904540</v>
      </c>
      <c r="M149" s="57">
        <v>-3459058</v>
      </c>
      <c r="N149" s="2">
        <f t="shared" si="4"/>
        <v>0.860911789506889</v>
      </c>
      <c r="O149" s="4">
        <f t="shared" si="5"/>
        <v>0.14452143998181624</v>
      </c>
    </row>
    <row r="150" spans="1:15" ht="15.75" customHeight="1">
      <c r="A150" s="1" t="s">
        <v>11</v>
      </c>
      <c r="B150" s="3" t="s">
        <v>52</v>
      </c>
      <c r="C150" s="3">
        <v>2016</v>
      </c>
      <c r="D150" s="3" t="str">
        <f>CONCATENATE(Data!$C150,Data!$B150)</f>
        <v>2016-Q4</v>
      </c>
      <c r="E150" s="57">
        <v>181638258</v>
      </c>
      <c r="F150" s="57">
        <v>99661246</v>
      </c>
      <c r="G150" s="57">
        <v>47514977</v>
      </c>
      <c r="H150" s="57">
        <v>506176430</v>
      </c>
      <c r="I150" s="57">
        <v>506176430</v>
      </c>
      <c r="J150" s="57">
        <v>481524281</v>
      </c>
      <c r="K150" s="57">
        <v>80790303</v>
      </c>
      <c r="L150" s="59">
        <v>-50952567</v>
      </c>
      <c r="M150" s="57">
        <v>-31842735</v>
      </c>
      <c r="N150" s="2">
        <f t="shared" si="4"/>
        <v>0.9512973193951366</v>
      </c>
      <c r="O150" s="4">
        <f t="shared" si="5"/>
        <v>0.15960897863221327</v>
      </c>
    </row>
    <row r="151" spans="1:15" ht="15.75" customHeight="1">
      <c r="A151" s="1" t="s">
        <v>12</v>
      </c>
      <c r="B151" s="3" t="s">
        <v>52</v>
      </c>
      <c r="C151" s="3">
        <v>2016</v>
      </c>
      <c r="D151" s="3" t="str">
        <f>CONCATENATE(Data!$C151,Data!$B151)</f>
        <v>2016-Q4</v>
      </c>
      <c r="E151" s="57">
        <v>1399374261</v>
      </c>
      <c r="F151" s="57">
        <v>479915231</v>
      </c>
      <c r="G151" s="57">
        <v>62045324</v>
      </c>
      <c r="H151" s="57">
        <v>3333769985</v>
      </c>
      <c r="I151" s="57">
        <v>3558578480</v>
      </c>
      <c r="J151" s="57">
        <v>3276429030</v>
      </c>
      <c r="K151" s="57">
        <v>264582777</v>
      </c>
      <c r="L151" s="59">
        <v>17566673</v>
      </c>
      <c r="M151" s="57">
        <v>40363259</v>
      </c>
      <c r="N151" s="2">
        <f t="shared" si="4"/>
        <v>0.9827999666269717</v>
      </c>
      <c r="O151" s="4">
        <f t="shared" si="5"/>
        <v>0.07936443671593017</v>
      </c>
    </row>
    <row r="152" spans="1:15" ht="15.75" customHeight="1">
      <c r="A152" s="1" t="s">
        <v>13</v>
      </c>
      <c r="B152" s="3" t="s">
        <v>52</v>
      </c>
      <c r="C152" s="3">
        <v>2016</v>
      </c>
      <c r="D152" s="3" t="str">
        <f>CONCATENATE(Data!$C152,Data!$B152)</f>
        <v>2016-Q4</v>
      </c>
      <c r="E152" s="57">
        <v>51322690</v>
      </c>
      <c r="F152" s="57">
        <v>15331044</v>
      </c>
      <c r="G152" s="57">
        <v>17504085</v>
      </c>
      <c r="H152" s="57">
        <v>135886945</v>
      </c>
      <c r="I152" s="57">
        <v>135886945</v>
      </c>
      <c r="J152" s="57">
        <v>125618668</v>
      </c>
      <c r="K152" s="57">
        <v>34634798</v>
      </c>
      <c r="L152" s="59">
        <v>-16209887</v>
      </c>
      <c r="M152" s="57">
        <v>-6707262</v>
      </c>
      <c r="N152" s="2">
        <f t="shared" si="4"/>
        <v>0.9244351471732623</v>
      </c>
      <c r="O152" s="4">
        <f t="shared" si="5"/>
        <v>0.25487951031646194</v>
      </c>
    </row>
    <row r="153" spans="1:15" ht="15.75" customHeight="1">
      <c r="A153" s="1" t="s">
        <v>14</v>
      </c>
      <c r="B153" s="3" t="s">
        <v>52</v>
      </c>
      <c r="C153" s="3">
        <v>2016</v>
      </c>
      <c r="D153" s="3" t="str">
        <f>CONCATENATE(Data!$C153,Data!$B153)</f>
        <v>2016-Q4</v>
      </c>
      <c r="E153" s="57">
        <v>366378390</v>
      </c>
      <c r="F153" s="57">
        <v>77572556</v>
      </c>
      <c r="G153" s="57">
        <v>181679121</v>
      </c>
      <c r="H153" s="57">
        <v>903914876</v>
      </c>
      <c r="I153" s="57">
        <v>903914876</v>
      </c>
      <c r="J153" s="57">
        <v>874329435</v>
      </c>
      <c r="K153" s="57">
        <v>82822791</v>
      </c>
      <c r="L153" s="59">
        <v>-53237350</v>
      </c>
      <c r="M153" s="57">
        <v>-12904649</v>
      </c>
      <c r="N153" s="2">
        <f t="shared" si="4"/>
        <v>0.9672696602461933</v>
      </c>
      <c r="O153" s="4">
        <f t="shared" si="5"/>
        <v>0.09162675955340732</v>
      </c>
    </row>
    <row r="154" spans="1:15" ht="15.75" customHeight="1">
      <c r="A154" s="1" t="s">
        <v>19</v>
      </c>
      <c r="B154" s="3" t="s">
        <v>52</v>
      </c>
      <c r="C154" s="3">
        <v>2016</v>
      </c>
      <c r="D154" s="3" t="str">
        <f>CONCATENATE(Data!$C154,Data!$B154)</f>
        <v>2016-Q4</v>
      </c>
      <c r="E154" s="57">
        <v>16256842</v>
      </c>
      <c r="F154" s="57">
        <v>-5925342</v>
      </c>
      <c r="G154" s="57">
        <v>15084523</v>
      </c>
      <c r="H154" s="57">
        <v>48331348</v>
      </c>
      <c r="I154" s="57">
        <v>48331348</v>
      </c>
      <c r="J154" s="57">
        <v>63919693</v>
      </c>
      <c r="K154" s="57">
        <v>17452732</v>
      </c>
      <c r="L154" s="59">
        <v>-27928077</v>
      </c>
      <c r="M154" s="57">
        <v>-27136615</v>
      </c>
      <c r="N154" s="2">
        <f t="shared" si="4"/>
        <v>1.3225307309864396</v>
      </c>
      <c r="O154" s="4">
        <f t="shared" si="5"/>
        <v>0.3611058396302127</v>
      </c>
    </row>
    <row r="155" spans="1:15" ht="15.75" customHeight="1">
      <c r="A155" s="1" t="s">
        <v>15</v>
      </c>
      <c r="B155" s="3" t="s">
        <v>52</v>
      </c>
      <c r="C155" s="3">
        <v>2016</v>
      </c>
      <c r="D155" s="3" t="str">
        <f>CONCATENATE(Data!$C155,Data!$B155)</f>
        <v>2016-Q4</v>
      </c>
      <c r="E155" s="57">
        <v>238086346</v>
      </c>
      <c r="F155" s="57">
        <v>157361698</v>
      </c>
      <c r="G155" s="57">
        <v>59196586</v>
      </c>
      <c r="H155" s="57">
        <v>547923933</v>
      </c>
      <c r="I155" s="57">
        <v>547923933</v>
      </c>
      <c r="J155" s="57">
        <v>498586666</v>
      </c>
      <c r="K155" s="57">
        <v>90630831</v>
      </c>
      <c r="L155" s="59">
        <v>-29293564</v>
      </c>
      <c r="M155" s="57">
        <v>-21087838</v>
      </c>
      <c r="N155" s="2">
        <f t="shared" si="4"/>
        <v>0.9099559920117598</v>
      </c>
      <c r="O155" s="4">
        <f t="shared" si="5"/>
        <v>0.16540768807775366</v>
      </c>
    </row>
    <row r="156" spans="1:15" ht="15.75" customHeight="1">
      <c r="A156" s="1" t="s">
        <v>16</v>
      </c>
      <c r="B156" s="3" t="s">
        <v>52</v>
      </c>
      <c r="C156" s="3">
        <v>2016</v>
      </c>
      <c r="D156" s="3" t="str">
        <f>CONCATENATE(Data!$C156,Data!$B156)</f>
        <v>2016-Q4</v>
      </c>
      <c r="E156" s="57">
        <v>750735770</v>
      </c>
      <c r="F156" s="57">
        <v>466192374</v>
      </c>
      <c r="G156" s="57">
        <v>111463287</v>
      </c>
      <c r="H156" s="57">
        <v>1107647527</v>
      </c>
      <c r="I156" s="57">
        <v>1107647527</v>
      </c>
      <c r="J156" s="57">
        <v>1068556780</v>
      </c>
      <c r="K156" s="57">
        <v>108770158</v>
      </c>
      <c r="L156" s="59">
        <v>-41398411</v>
      </c>
      <c r="M156" s="57">
        <v>-28116816</v>
      </c>
      <c r="N156" s="2">
        <f t="shared" si="4"/>
        <v>0.9647083155542494</v>
      </c>
      <c r="O156" s="4">
        <f t="shared" si="5"/>
        <v>0.09819925143027923</v>
      </c>
    </row>
    <row r="157" spans="1:15" ht="15.75" customHeight="1">
      <c r="A157" s="1" t="s">
        <v>17</v>
      </c>
      <c r="B157" s="3" t="s">
        <v>52</v>
      </c>
      <c r="C157" s="3">
        <v>2016</v>
      </c>
      <c r="D157" s="3" t="str">
        <f>CONCATENATE(Data!$C157,Data!$B157)</f>
        <v>2016-Q4</v>
      </c>
      <c r="E157" s="57">
        <v>1092931044</v>
      </c>
      <c r="F157" s="57">
        <v>660969969</v>
      </c>
      <c r="G157" s="57">
        <v>190826931</v>
      </c>
      <c r="H157" s="57">
        <v>1780829618</v>
      </c>
      <c r="I157" s="57">
        <v>1780829618</v>
      </c>
      <c r="J157" s="57">
        <v>1496458787</v>
      </c>
      <c r="K157" s="57">
        <v>255475814</v>
      </c>
      <c r="L157" s="59">
        <v>28895017</v>
      </c>
      <c r="M157" s="57">
        <v>30214856</v>
      </c>
      <c r="N157" s="2">
        <f t="shared" si="4"/>
        <v>0.8403155315221178</v>
      </c>
      <c r="O157" s="4">
        <f t="shared" si="5"/>
        <v>0.14345887524429077</v>
      </c>
    </row>
    <row r="158" spans="1:15" ht="15.75" customHeight="1">
      <c r="A158" s="1" t="s">
        <v>20</v>
      </c>
      <c r="B158" s="3" t="s">
        <v>52</v>
      </c>
      <c r="C158" s="3">
        <v>2016</v>
      </c>
      <c r="D158" s="3" t="str">
        <f>CONCATENATE(Data!$C158,Data!$B158)</f>
        <v>2016-Q4</v>
      </c>
      <c r="E158" s="57">
        <v>20831017</v>
      </c>
      <c r="F158" s="57">
        <v>9642845</v>
      </c>
      <c r="G158" s="57">
        <v>8896907</v>
      </c>
      <c r="H158" s="57">
        <v>64756613</v>
      </c>
      <c r="I158" s="57">
        <v>73380883</v>
      </c>
      <c r="J158" s="57">
        <v>59866945</v>
      </c>
      <c r="K158" s="57">
        <v>9433691</v>
      </c>
      <c r="L158" s="59">
        <v>4080246</v>
      </c>
      <c r="M158" s="57">
        <v>2797614</v>
      </c>
      <c r="N158" s="2">
        <f t="shared" si="4"/>
        <v>0.9244916036606177</v>
      </c>
      <c r="O158" s="4">
        <f t="shared" si="5"/>
        <v>0.14567919109666838</v>
      </c>
    </row>
    <row r="159" spans="1:15" ht="15.75" customHeight="1">
      <c r="A159" s="1" t="s">
        <v>21</v>
      </c>
      <c r="B159" s="3" t="s">
        <v>52</v>
      </c>
      <c r="C159" s="3">
        <v>2016</v>
      </c>
      <c r="D159" s="3" t="str">
        <f>CONCATENATE(Data!$C159,Data!$B159)</f>
        <v>2016-Q4</v>
      </c>
      <c r="E159" s="57">
        <v>174721657</v>
      </c>
      <c r="F159" s="57">
        <v>64476343</v>
      </c>
      <c r="G159" s="57">
        <v>90848017</v>
      </c>
      <c r="H159" s="57">
        <v>499888764</v>
      </c>
      <c r="I159" s="57">
        <v>519737063</v>
      </c>
      <c r="J159" s="57">
        <v>469864221</v>
      </c>
      <c r="K159" s="57">
        <v>47347870</v>
      </c>
      <c r="L159" s="59">
        <v>5630063</v>
      </c>
      <c r="M159" s="57">
        <v>5022503</v>
      </c>
      <c r="N159" s="2">
        <f t="shared" si="4"/>
        <v>0.9399375517870212</v>
      </c>
      <c r="O159" s="4">
        <f t="shared" si="5"/>
        <v>0.09471681183856336</v>
      </c>
    </row>
    <row r="160" spans="1:15" ht="15.75" customHeight="1">
      <c r="A160" s="1" t="s">
        <v>36</v>
      </c>
      <c r="B160" s="3" t="s">
        <v>52</v>
      </c>
      <c r="C160" s="3">
        <v>2016</v>
      </c>
      <c r="D160" s="3" t="str">
        <f>CONCATENATE(Data!$C160,Data!$B160)</f>
        <v>2016-Q4</v>
      </c>
      <c r="E160" s="57">
        <v>8726611</v>
      </c>
      <c r="F160" s="57">
        <v>2873168</v>
      </c>
      <c r="G160" s="57">
        <v>1377801</v>
      </c>
      <c r="H160" s="57">
        <v>4721047</v>
      </c>
      <c r="I160" s="57">
        <v>4721047</v>
      </c>
      <c r="J160" s="57">
        <v>6469435</v>
      </c>
      <c r="K160" s="57">
        <v>2973986</v>
      </c>
      <c r="L160" s="59">
        <v>-4755807</v>
      </c>
      <c r="M160" s="57">
        <v>-4746487</v>
      </c>
      <c r="N160" s="2">
        <f t="shared" si="4"/>
        <v>1.3703390370822404</v>
      </c>
      <c r="O160" s="4">
        <f t="shared" si="5"/>
        <v>0.6299420446354379</v>
      </c>
    </row>
    <row r="161" spans="1:15" ht="15.75" customHeight="1">
      <c r="A161" s="58" t="s">
        <v>18</v>
      </c>
      <c r="B161" s="66" t="s">
        <v>49</v>
      </c>
      <c r="C161" s="66">
        <v>2017</v>
      </c>
      <c r="D161" s="3" t="str">
        <f>CONCATENATE(Data!$C161,Data!$B161)</f>
        <v>2017-Q1</v>
      </c>
      <c r="E161" s="48">
        <v>80889558</v>
      </c>
      <c r="F161" s="48">
        <v>23495977</v>
      </c>
      <c r="G161" s="48">
        <v>19658571</v>
      </c>
      <c r="H161" s="48">
        <v>66460154</v>
      </c>
      <c r="I161" s="48">
        <v>66460154</v>
      </c>
      <c r="J161" s="48">
        <v>60248541</v>
      </c>
      <c r="K161" s="48">
        <v>9121750</v>
      </c>
      <c r="L161" s="59">
        <v>-2910136</v>
      </c>
      <c r="M161" s="48">
        <v>-2764735</v>
      </c>
      <c r="N161" s="2">
        <f t="shared" si="4"/>
        <v>0.9065362833796623</v>
      </c>
      <c r="O161" s="4">
        <f t="shared" si="5"/>
        <v>0.13725141232745264</v>
      </c>
    </row>
    <row r="162" spans="1:15" ht="15.75" customHeight="1">
      <c r="A162" s="58" t="s">
        <v>11</v>
      </c>
      <c r="B162" s="66" t="s">
        <v>49</v>
      </c>
      <c r="C162" s="66">
        <v>2017</v>
      </c>
      <c r="D162" s="3" t="str">
        <f>CONCATENATE(Data!$C162,Data!$B162)</f>
        <v>2017-Q1</v>
      </c>
      <c r="E162" s="48">
        <v>210269492</v>
      </c>
      <c r="F162" s="48">
        <v>98695854</v>
      </c>
      <c r="G162" s="48">
        <v>53327953</v>
      </c>
      <c r="H162" s="48">
        <v>132212761</v>
      </c>
      <c r="I162" s="48">
        <v>132212761</v>
      </c>
      <c r="J162" s="48">
        <v>121099594</v>
      </c>
      <c r="K162" s="48">
        <v>22626538</v>
      </c>
      <c r="L162" s="59">
        <v>-2323498</v>
      </c>
      <c r="M162" s="48">
        <v>2626642</v>
      </c>
      <c r="N162" s="2">
        <f t="shared" si="4"/>
        <v>0.9159448232081017</v>
      </c>
      <c r="O162" s="4">
        <f t="shared" si="5"/>
        <v>0.17113732312117738</v>
      </c>
    </row>
    <row r="163" spans="1:15" ht="15.75" customHeight="1">
      <c r="A163" s="58" t="s">
        <v>12</v>
      </c>
      <c r="B163" s="66" t="s">
        <v>49</v>
      </c>
      <c r="C163" s="66">
        <v>2017</v>
      </c>
      <c r="D163" s="3" t="str">
        <f>CONCATENATE(Data!$C163,Data!$B163)</f>
        <v>2017-Q1</v>
      </c>
      <c r="E163" s="48">
        <v>1420740231</v>
      </c>
      <c r="F163" s="48">
        <v>505532694</v>
      </c>
      <c r="G163" s="48">
        <v>46809055</v>
      </c>
      <c r="H163" s="48">
        <v>894259374</v>
      </c>
      <c r="I163" s="48">
        <v>949204920</v>
      </c>
      <c r="J163" s="48">
        <v>860100565</v>
      </c>
      <c r="K163" s="48">
        <v>59318988</v>
      </c>
      <c r="L163" s="59">
        <v>29785276</v>
      </c>
      <c r="M163" s="48">
        <v>36022010</v>
      </c>
      <c r="N163" s="2">
        <f t="shared" si="4"/>
        <v>0.9618021236420385</v>
      </c>
      <c r="O163" s="4">
        <f t="shared" si="5"/>
        <v>0.06633309051563825</v>
      </c>
    </row>
    <row r="164" spans="1:15" ht="15.75" customHeight="1">
      <c r="A164" s="58" t="s">
        <v>13</v>
      </c>
      <c r="B164" s="66" t="s">
        <v>49</v>
      </c>
      <c r="C164" s="66">
        <v>2017</v>
      </c>
      <c r="D164" s="3" t="str">
        <f>CONCATENATE(Data!$C164,Data!$B164)</f>
        <v>2017-Q1</v>
      </c>
      <c r="E164" s="48">
        <v>30077259</v>
      </c>
      <c r="F164" s="48">
        <v>14392117</v>
      </c>
      <c r="G164" s="48">
        <v>3163248</v>
      </c>
      <c r="H164" s="48">
        <v>3506850</v>
      </c>
      <c r="I164" s="48">
        <v>3506850</v>
      </c>
      <c r="J164" s="48">
        <v>1645915</v>
      </c>
      <c r="K164" s="48">
        <v>2221930</v>
      </c>
      <c r="L164" s="59">
        <v>-360995</v>
      </c>
      <c r="M164" s="48">
        <v>-932032</v>
      </c>
      <c r="N164" s="2">
        <f t="shared" si="4"/>
        <v>0.46934285755022315</v>
      </c>
      <c r="O164" s="4">
        <f t="shared" si="5"/>
        <v>0.6335971028130658</v>
      </c>
    </row>
    <row r="165" spans="1:15" ht="15.75" customHeight="1">
      <c r="A165" s="58" t="s">
        <v>14</v>
      </c>
      <c r="B165" s="66" t="s">
        <v>49</v>
      </c>
      <c r="C165" s="66">
        <v>2017</v>
      </c>
      <c r="D165" s="3" t="str">
        <f>CONCATENATE(Data!$C165,Data!$B165)</f>
        <v>2017-Q1</v>
      </c>
      <c r="E165" s="48">
        <v>318420511</v>
      </c>
      <c r="F165" s="48">
        <v>82271698</v>
      </c>
      <c r="G165" s="48">
        <v>116279127</v>
      </c>
      <c r="H165" s="48">
        <v>142619182</v>
      </c>
      <c r="I165" s="48">
        <v>142619182</v>
      </c>
      <c r="J165" s="48">
        <v>129923425</v>
      </c>
      <c r="K165" s="48">
        <v>8129389</v>
      </c>
      <c r="L165" s="59">
        <v>4566368</v>
      </c>
      <c r="M165" s="48">
        <v>16620459</v>
      </c>
      <c r="N165" s="2">
        <f t="shared" si="4"/>
        <v>0.9109814204375397</v>
      </c>
      <c r="O165" s="4">
        <f t="shared" si="5"/>
        <v>0.057000670498867395</v>
      </c>
    </row>
    <row r="166" spans="1:15" ht="15.75" customHeight="1">
      <c r="A166" s="58" t="s">
        <v>19</v>
      </c>
      <c r="B166" s="66" t="s">
        <v>49</v>
      </c>
      <c r="C166" s="66">
        <v>2017</v>
      </c>
      <c r="D166" s="3" t="str">
        <f>CONCATENATE(Data!$C166,Data!$B166)</f>
        <v>2017-Q1</v>
      </c>
      <c r="E166" s="48">
        <v>13897765</v>
      </c>
      <c r="F166" s="48">
        <v>-6603818</v>
      </c>
      <c r="G166" s="48">
        <v>13243103</v>
      </c>
      <c r="H166" s="48">
        <v>-215002</v>
      </c>
      <c r="I166" s="48">
        <v>-215002</v>
      </c>
      <c r="J166" s="48">
        <v>1552385</v>
      </c>
      <c r="K166" s="48">
        <v>1560984</v>
      </c>
      <c r="L166" s="59">
        <v>-3324438</v>
      </c>
      <c r="M166" s="48">
        <v>-3324438</v>
      </c>
      <c r="N166" s="2">
        <f t="shared" si="4"/>
        <v>-7.220328182993646</v>
      </c>
      <c r="O166" s="4">
        <f t="shared" si="5"/>
        <v>-7.26032315978456</v>
      </c>
    </row>
    <row r="167" spans="1:15" ht="15.75" customHeight="1">
      <c r="A167" s="58" t="s">
        <v>15</v>
      </c>
      <c r="B167" s="66" t="s">
        <v>49</v>
      </c>
      <c r="C167" s="66">
        <v>2017</v>
      </c>
      <c r="D167" s="3" t="str">
        <f>CONCATENATE(Data!$C167,Data!$B167)</f>
        <v>2017-Q1</v>
      </c>
      <c r="E167" s="48">
        <v>255238062</v>
      </c>
      <c r="F167" s="48">
        <v>168815617</v>
      </c>
      <c r="G167" s="48">
        <v>68002150</v>
      </c>
      <c r="H167" s="48">
        <v>165041058</v>
      </c>
      <c r="I167" s="48">
        <v>165041058</v>
      </c>
      <c r="J167" s="48">
        <v>130741747</v>
      </c>
      <c r="K167" s="48">
        <v>23661934</v>
      </c>
      <c r="L167" s="59">
        <v>10637377</v>
      </c>
      <c r="M167" s="48">
        <v>7237040</v>
      </c>
      <c r="N167" s="2">
        <f t="shared" si="4"/>
        <v>0.792177101773063</v>
      </c>
      <c r="O167" s="4">
        <f t="shared" si="5"/>
        <v>0.14336998494035344</v>
      </c>
    </row>
    <row r="168" spans="1:15" ht="15.75" customHeight="1">
      <c r="A168" s="58" t="s">
        <v>16</v>
      </c>
      <c r="B168" s="66" t="s">
        <v>49</v>
      </c>
      <c r="C168" s="66">
        <v>2017</v>
      </c>
      <c r="D168" s="3" t="str">
        <f>CONCATENATE(Data!$C168,Data!$B168)</f>
        <v>2017-Q1</v>
      </c>
      <c r="E168" s="48">
        <v>794254871</v>
      </c>
      <c r="F168" s="48">
        <v>472075341</v>
      </c>
      <c r="G168" s="48">
        <v>147903606</v>
      </c>
      <c r="H168" s="48">
        <v>334855560</v>
      </c>
      <c r="I168" s="48">
        <v>334855560</v>
      </c>
      <c r="J168" s="48">
        <v>303392626</v>
      </c>
      <c r="K168" s="48">
        <v>28018984</v>
      </c>
      <c r="L168" s="59">
        <v>3443950</v>
      </c>
      <c r="M168" s="48">
        <v>5133018</v>
      </c>
      <c r="N168" s="2">
        <f t="shared" si="4"/>
        <v>0.9060402819651554</v>
      </c>
      <c r="O168" s="4">
        <f t="shared" si="5"/>
        <v>0.08367483580084499</v>
      </c>
    </row>
    <row r="169" spans="1:15" ht="15.75" customHeight="1">
      <c r="A169" s="58" t="s">
        <v>17</v>
      </c>
      <c r="B169" s="66" t="s">
        <v>49</v>
      </c>
      <c r="C169" s="66">
        <v>2017</v>
      </c>
      <c r="D169" s="3" t="str">
        <f>CONCATENATE(Data!$C169,Data!$B169)</f>
        <v>2017-Q1</v>
      </c>
      <c r="E169" s="48">
        <v>1178720871</v>
      </c>
      <c r="F169" s="48">
        <v>672204047</v>
      </c>
      <c r="G169" s="48">
        <v>220118684</v>
      </c>
      <c r="H169" s="48">
        <v>479160290</v>
      </c>
      <c r="I169" s="48">
        <v>479160290</v>
      </c>
      <c r="J169" s="48">
        <v>414678126</v>
      </c>
      <c r="K169" s="48">
        <v>57355473</v>
      </c>
      <c r="L169" s="59">
        <v>7126691</v>
      </c>
      <c r="M169" s="48">
        <v>15852968</v>
      </c>
      <c r="N169" s="2">
        <f t="shared" si="4"/>
        <v>0.8654267364267603</v>
      </c>
      <c r="O169" s="4">
        <f t="shared" si="5"/>
        <v>0.11969997138118436</v>
      </c>
    </row>
    <row r="170" spans="1:15" ht="15.75" customHeight="1">
      <c r="A170" s="58" t="s">
        <v>20</v>
      </c>
      <c r="B170" s="66" t="s">
        <v>49</v>
      </c>
      <c r="C170" s="66">
        <v>2017</v>
      </c>
      <c r="D170" s="3" t="str">
        <f>CONCATENATE(Data!$C170,Data!$B170)</f>
        <v>2017-Q1</v>
      </c>
      <c r="E170" s="48">
        <v>28779243</v>
      </c>
      <c r="F170" s="48">
        <v>10918151</v>
      </c>
      <c r="G170" s="48">
        <v>9571070</v>
      </c>
      <c r="H170" s="48">
        <v>19764631</v>
      </c>
      <c r="I170" s="48">
        <v>22456954</v>
      </c>
      <c r="J170" s="48">
        <v>17962336</v>
      </c>
      <c r="K170" s="48">
        <v>2577096</v>
      </c>
      <c r="L170" s="59">
        <v>1917522</v>
      </c>
      <c r="M170" s="48">
        <v>1261664</v>
      </c>
      <c r="N170" s="2">
        <f t="shared" si="4"/>
        <v>0.908812109874452</v>
      </c>
      <c r="O170" s="4">
        <f t="shared" si="5"/>
        <v>0.13038927971890799</v>
      </c>
    </row>
    <row r="171" spans="1:15" ht="15.75" customHeight="1">
      <c r="A171" s="58" t="s">
        <v>21</v>
      </c>
      <c r="B171" s="66" t="s">
        <v>49</v>
      </c>
      <c r="C171" s="66">
        <v>2017</v>
      </c>
      <c r="D171" s="3" t="str">
        <f>CONCATENATE(Data!$C171,Data!$B171)</f>
        <v>2017-Q1</v>
      </c>
      <c r="E171" s="48">
        <v>175746807</v>
      </c>
      <c r="F171" s="48">
        <v>65469164</v>
      </c>
      <c r="G171" s="48">
        <v>93121559</v>
      </c>
      <c r="H171" s="48">
        <v>117832297</v>
      </c>
      <c r="I171" s="48">
        <v>122698084</v>
      </c>
      <c r="J171" s="48">
        <v>115348321</v>
      </c>
      <c r="K171" s="48">
        <v>7798766</v>
      </c>
      <c r="L171" s="59">
        <v>949531</v>
      </c>
      <c r="M171" s="48">
        <v>1407985</v>
      </c>
      <c r="N171" s="2">
        <f t="shared" si="4"/>
        <v>0.9789193959275868</v>
      </c>
      <c r="O171" s="4">
        <f t="shared" si="5"/>
        <v>0.0661853006226298</v>
      </c>
    </row>
    <row r="172" spans="1:15" ht="15.75" customHeight="1">
      <c r="A172" s="58" t="s">
        <v>18</v>
      </c>
      <c r="B172" s="66" t="s">
        <v>50</v>
      </c>
      <c r="C172" s="66">
        <v>2017</v>
      </c>
      <c r="D172" s="3" t="str">
        <f>CONCATENATE(Data!$C172,Data!$B172)</f>
        <v>2017-Q2</v>
      </c>
      <c r="E172" s="48">
        <v>79569380</v>
      </c>
      <c r="F172" s="48">
        <v>22023794</v>
      </c>
      <c r="G172" s="48">
        <v>21360863</v>
      </c>
      <c r="H172" s="48">
        <v>132643172</v>
      </c>
      <c r="I172" s="48">
        <v>132656672</v>
      </c>
      <c r="J172" s="48">
        <v>120689100</v>
      </c>
      <c r="K172" s="48">
        <v>18346884</v>
      </c>
      <c r="L172" s="59">
        <v>-6379311</v>
      </c>
      <c r="M172" s="48">
        <v>-5964245</v>
      </c>
      <c r="N172" s="2">
        <f t="shared" si="4"/>
        <v>0.9098779694442168</v>
      </c>
      <c r="O172" s="4">
        <f t="shared" si="5"/>
        <v>0.13831759089717788</v>
      </c>
    </row>
    <row r="173" spans="1:15" ht="15.75" customHeight="1">
      <c r="A173" s="58" t="s">
        <v>11</v>
      </c>
      <c r="B173" s="66" t="s">
        <v>50</v>
      </c>
      <c r="C173" s="66">
        <v>2017</v>
      </c>
      <c r="D173" s="3" t="str">
        <f>CONCATENATE(Data!$C173,Data!$B173)</f>
        <v>2017-Q2</v>
      </c>
      <c r="E173" s="48">
        <v>208972175</v>
      </c>
      <c r="F173" s="48">
        <v>99222531</v>
      </c>
      <c r="G173" s="48">
        <v>49858490</v>
      </c>
      <c r="H173" s="48">
        <v>267004556</v>
      </c>
      <c r="I173" s="48">
        <v>267004556</v>
      </c>
      <c r="J173" s="48">
        <v>248922181</v>
      </c>
      <c r="K173" s="48">
        <v>31984009</v>
      </c>
      <c r="L173" s="59">
        <v>-2212971</v>
      </c>
      <c r="M173" s="48">
        <v>4177037</v>
      </c>
      <c r="N173" s="2">
        <f t="shared" si="4"/>
        <v>0.9322769046682484</v>
      </c>
      <c r="O173" s="4">
        <f t="shared" si="5"/>
        <v>0.11978825185290097</v>
      </c>
    </row>
    <row r="174" spans="1:15" ht="15.75" customHeight="1">
      <c r="A174" s="58" t="s">
        <v>12</v>
      </c>
      <c r="B174" s="66" t="s">
        <v>50</v>
      </c>
      <c r="C174" s="66">
        <v>2017</v>
      </c>
      <c r="D174" s="3" t="str">
        <f>CONCATENATE(Data!$C174,Data!$B174)</f>
        <v>2017-Q2</v>
      </c>
      <c r="E174" s="48">
        <v>1458099777</v>
      </c>
      <c r="F174" s="48">
        <v>544886433</v>
      </c>
      <c r="G174" s="48">
        <v>60676397</v>
      </c>
      <c r="H174" s="48">
        <v>1769833092</v>
      </c>
      <c r="I174" s="48">
        <v>1881003490</v>
      </c>
      <c r="J174" s="48">
        <v>1729231699</v>
      </c>
      <c r="K174" s="48">
        <v>112674114</v>
      </c>
      <c r="L174" s="59">
        <v>39097677</v>
      </c>
      <c r="M174" s="48">
        <v>49497080</v>
      </c>
      <c r="N174" s="2">
        <f t="shared" si="4"/>
        <v>0.9770591966081286</v>
      </c>
      <c r="O174" s="4">
        <f t="shared" si="5"/>
        <v>0.0636636949039486</v>
      </c>
    </row>
    <row r="175" spans="1:15" ht="15.75" customHeight="1">
      <c r="A175" s="58" t="s">
        <v>13</v>
      </c>
      <c r="B175" s="66" t="s">
        <v>50</v>
      </c>
      <c r="C175" s="66">
        <v>2017</v>
      </c>
      <c r="D175" s="3" t="str">
        <f>CONCATENATE(Data!$C175,Data!$B175)</f>
        <v>2017-Q2</v>
      </c>
      <c r="E175" s="48">
        <v>28568542</v>
      </c>
      <c r="F175" s="48">
        <v>14443292</v>
      </c>
      <c r="G175" s="48">
        <v>3409849</v>
      </c>
      <c r="H175" s="48">
        <v>5051175</v>
      </c>
      <c r="I175" s="48">
        <v>5051175</v>
      </c>
      <c r="J175" s="48">
        <v>3077053</v>
      </c>
      <c r="K175" s="48">
        <v>4166294</v>
      </c>
      <c r="L175" s="59">
        <v>-2192172</v>
      </c>
      <c r="M175" s="48">
        <v>-880113</v>
      </c>
      <c r="N175" s="2">
        <f t="shared" si="4"/>
        <v>0.60917568684514</v>
      </c>
      <c r="O175" s="4">
        <f t="shared" si="5"/>
        <v>0.8248168000514732</v>
      </c>
    </row>
    <row r="176" spans="1:15" ht="15.75" customHeight="1">
      <c r="A176" s="58" t="s">
        <v>14</v>
      </c>
      <c r="B176" s="66" t="s">
        <v>50</v>
      </c>
      <c r="C176" s="66">
        <v>2017</v>
      </c>
      <c r="D176" s="3" t="str">
        <f>CONCATENATE(Data!$C176,Data!$B176)</f>
        <v>2017-Q2</v>
      </c>
      <c r="E176" s="48">
        <v>309585116</v>
      </c>
      <c r="F176" s="48">
        <v>89943274</v>
      </c>
      <c r="G176" s="48">
        <v>84033494</v>
      </c>
      <c r="H176" s="48">
        <v>286559772</v>
      </c>
      <c r="I176" s="48">
        <v>286559772</v>
      </c>
      <c r="J176" s="48">
        <v>265008340</v>
      </c>
      <c r="K176" s="48">
        <v>14897941</v>
      </c>
      <c r="L176" s="59">
        <v>6653491</v>
      </c>
      <c r="M176" s="48">
        <v>23238787</v>
      </c>
      <c r="N176" s="2">
        <f t="shared" si="4"/>
        <v>0.9247925420599511</v>
      </c>
      <c r="O176" s="4">
        <f t="shared" si="5"/>
        <v>0.051988947701982396</v>
      </c>
    </row>
    <row r="177" spans="1:15" ht="15.75" customHeight="1">
      <c r="A177" s="58" t="s">
        <v>15</v>
      </c>
      <c r="B177" s="66" t="s">
        <v>50</v>
      </c>
      <c r="C177" s="66">
        <v>2017</v>
      </c>
      <c r="D177" s="3" t="str">
        <f>CONCATENATE(Data!$C177,Data!$B177)</f>
        <v>2017-Q2</v>
      </c>
      <c r="E177" s="48">
        <v>274845828</v>
      </c>
      <c r="F177" s="48">
        <v>179432588</v>
      </c>
      <c r="G177" s="48">
        <v>73679302</v>
      </c>
      <c r="H177" s="48">
        <v>337550894</v>
      </c>
      <c r="I177" s="48">
        <v>337367166</v>
      </c>
      <c r="J177" s="48">
        <v>268431397</v>
      </c>
      <c r="K177" s="48">
        <v>45640146</v>
      </c>
      <c r="L177" s="59">
        <v>23295623</v>
      </c>
      <c r="M177" s="48">
        <v>15810027</v>
      </c>
      <c r="N177" s="2">
        <f t="shared" si="4"/>
        <v>0.7952323687224481</v>
      </c>
      <c r="O177" s="4">
        <f t="shared" si="5"/>
        <v>0.13520967300415446</v>
      </c>
    </row>
    <row r="178" spans="1:15" ht="15.75" customHeight="1">
      <c r="A178" s="58" t="s">
        <v>16</v>
      </c>
      <c r="B178" s="66" t="s">
        <v>50</v>
      </c>
      <c r="C178" s="66">
        <v>2017</v>
      </c>
      <c r="D178" s="3" t="str">
        <f>CONCATENATE(Data!$C178,Data!$B178)</f>
        <v>2017-Q2</v>
      </c>
      <c r="E178" s="48">
        <v>848240281</v>
      </c>
      <c r="F178" s="48">
        <v>487791471</v>
      </c>
      <c r="G178" s="48">
        <v>145979482</v>
      </c>
      <c r="H178" s="48">
        <v>651840252</v>
      </c>
      <c r="I178" s="48">
        <v>651840252</v>
      </c>
      <c r="J178" s="48">
        <v>591214336</v>
      </c>
      <c r="K178" s="48">
        <v>58947844</v>
      </c>
      <c r="L178" s="59">
        <v>1678072</v>
      </c>
      <c r="M178" s="48">
        <v>5320203</v>
      </c>
      <c r="N178" s="2">
        <f t="shared" si="4"/>
        <v>0.9069926783226636</v>
      </c>
      <c r="O178" s="4">
        <f t="shared" si="5"/>
        <v>0.09043296086600065</v>
      </c>
    </row>
    <row r="179" spans="1:15" ht="15.75" customHeight="1">
      <c r="A179" s="58" t="s">
        <v>17</v>
      </c>
      <c r="B179" s="66" t="s">
        <v>50</v>
      </c>
      <c r="C179" s="66">
        <v>2017</v>
      </c>
      <c r="D179" s="3" t="str">
        <f>CONCATENATE(Data!$C179,Data!$B179)</f>
        <v>2017-Q2</v>
      </c>
      <c r="E179" s="48">
        <v>1202265472</v>
      </c>
      <c r="F179" s="48">
        <v>713136810</v>
      </c>
      <c r="G179" s="48">
        <v>195474550</v>
      </c>
      <c r="H179" s="48">
        <v>966674423</v>
      </c>
      <c r="I179" s="48">
        <v>962566428</v>
      </c>
      <c r="J179" s="48">
        <v>797270172</v>
      </c>
      <c r="K179" s="48">
        <v>112042775</v>
      </c>
      <c r="L179" s="59">
        <v>53253481</v>
      </c>
      <c r="M179" s="48">
        <v>51115032</v>
      </c>
      <c r="N179" s="2">
        <f t="shared" si="4"/>
        <v>0.8247556292280219</v>
      </c>
      <c r="O179" s="4">
        <f t="shared" si="5"/>
        <v>0.11590538896465662</v>
      </c>
    </row>
    <row r="180" spans="1:15" ht="15.75" customHeight="1">
      <c r="A180" s="58" t="s">
        <v>20</v>
      </c>
      <c r="B180" s="66" t="s">
        <v>50</v>
      </c>
      <c r="C180" s="66">
        <v>2017</v>
      </c>
      <c r="D180" s="3" t="str">
        <f>CONCATENATE(Data!$C180,Data!$B180)</f>
        <v>2017-Q2</v>
      </c>
      <c r="E180" s="48">
        <v>30625052</v>
      </c>
      <c r="F180" s="48">
        <v>11066822</v>
      </c>
      <c r="G180" s="48">
        <v>12123488</v>
      </c>
      <c r="H180" s="48">
        <v>38939609</v>
      </c>
      <c r="I180" s="48">
        <v>44385499</v>
      </c>
      <c r="J180" s="48">
        <v>37629317</v>
      </c>
      <c r="K180" s="48">
        <v>5327561</v>
      </c>
      <c r="L180" s="59">
        <v>1428621</v>
      </c>
      <c r="M180" s="48">
        <v>741458</v>
      </c>
      <c r="N180" s="2">
        <f t="shared" si="4"/>
        <v>0.966350663664856</v>
      </c>
      <c r="O180" s="4">
        <f t="shared" si="5"/>
        <v>0.13681598600540648</v>
      </c>
    </row>
    <row r="181" spans="1:15" ht="15.75" customHeight="1">
      <c r="A181" s="58" t="s">
        <v>21</v>
      </c>
      <c r="B181" s="66" t="s">
        <v>50</v>
      </c>
      <c r="C181" s="66">
        <v>2017</v>
      </c>
      <c r="D181" s="3" t="str">
        <f>CONCATENATE(Data!$C181,Data!$B181)</f>
        <v>2017-Q2</v>
      </c>
      <c r="E181" s="48">
        <v>177251810</v>
      </c>
      <c r="F181" s="48">
        <v>65264951</v>
      </c>
      <c r="G181" s="48">
        <v>95721580</v>
      </c>
      <c r="H181" s="48">
        <v>239565928</v>
      </c>
      <c r="I181" s="48">
        <v>247051715</v>
      </c>
      <c r="J181" s="48">
        <v>229907789</v>
      </c>
      <c r="K181" s="48">
        <v>16775454</v>
      </c>
      <c r="L181" s="59">
        <v>2397005</v>
      </c>
      <c r="M181" s="48">
        <v>2717792</v>
      </c>
      <c r="N181" s="2">
        <f t="shared" si="4"/>
        <v>0.959684838822322</v>
      </c>
      <c r="O181" s="4">
        <f t="shared" si="5"/>
        <v>0.07002437341590578</v>
      </c>
    </row>
    <row r="182" spans="1:15" ht="15.75" customHeight="1">
      <c r="A182" s="65" t="s">
        <v>18</v>
      </c>
      <c r="B182" s="66" t="s">
        <v>51</v>
      </c>
      <c r="C182" s="66">
        <v>2017</v>
      </c>
      <c r="D182" s="64" t="str">
        <f>CONCATENATE(Data!$C182,Data!$B182)</f>
        <v>2017-Q3</v>
      </c>
      <c r="E182" s="48">
        <v>82884386</v>
      </c>
      <c r="F182" s="48">
        <v>19624076</v>
      </c>
      <c r="G182" s="48">
        <v>22157044</v>
      </c>
      <c r="H182" s="48">
        <v>200508503</v>
      </c>
      <c r="I182" s="48">
        <v>200520882</v>
      </c>
      <c r="J182" s="48">
        <v>179464325</v>
      </c>
      <c r="K182" s="48">
        <v>27189619</v>
      </c>
      <c r="L182" s="59">
        <v>-6133063</v>
      </c>
      <c r="M182" s="48">
        <v>-5480328</v>
      </c>
      <c r="N182" s="2">
        <f t="shared" si="4"/>
        <v>0.8950459572280584</v>
      </c>
      <c r="O182" s="4">
        <f t="shared" si="5"/>
        <v>0.1356033215209831</v>
      </c>
    </row>
    <row r="183" spans="1:15" ht="15.75" customHeight="1">
      <c r="A183" s="65" t="s">
        <v>11</v>
      </c>
      <c r="B183" s="66" t="s">
        <v>51</v>
      </c>
      <c r="C183" s="66">
        <v>2017</v>
      </c>
      <c r="D183" s="64" t="str">
        <f>CONCATENATE(Data!$C183,Data!$B183)</f>
        <v>2017-Q3</v>
      </c>
      <c r="E183" s="48">
        <v>210237497</v>
      </c>
      <c r="F183" s="48">
        <v>101492074</v>
      </c>
      <c r="G183" s="48">
        <v>49605490</v>
      </c>
      <c r="H183" s="48">
        <v>400442415</v>
      </c>
      <c r="I183" s="48">
        <v>400442415</v>
      </c>
      <c r="J183" s="48">
        <v>368569724</v>
      </c>
      <c r="K183" s="48">
        <v>49725010</v>
      </c>
      <c r="L183" s="59">
        <v>-2629145</v>
      </c>
      <c r="M183" s="48">
        <v>5673212</v>
      </c>
      <c r="N183" s="2">
        <f t="shared" si="4"/>
        <v>0.9204063061102057</v>
      </c>
      <c r="O183" s="4">
        <f t="shared" si="5"/>
        <v>0.12417518259148447</v>
      </c>
    </row>
    <row r="184" spans="1:15" ht="15.75" customHeight="1">
      <c r="A184" s="65" t="s">
        <v>12</v>
      </c>
      <c r="B184" s="66" t="s">
        <v>51</v>
      </c>
      <c r="C184" s="66">
        <v>2017</v>
      </c>
      <c r="D184" s="64" t="str">
        <f>CONCATENATE(Data!$C184,Data!$B184)</f>
        <v>2017-Q3</v>
      </c>
      <c r="E184" s="48">
        <v>1440845024</v>
      </c>
      <c r="F184" s="48">
        <v>567396560</v>
      </c>
      <c r="G184" s="48">
        <v>73911512</v>
      </c>
      <c r="H184" s="48">
        <v>2644087238</v>
      </c>
      <c r="I184" s="48">
        <v>2816716164</v>
      </c>
      <c r="J184" s="48">
        <v>2603068296</v>
      </c>
      <c r="K184" s="48">
        <v>167242141</v>
      </c>
      <c r="L184" s="59">
        <v>46405727</v>
      </c>
      <c r="M184" s="48">
        <v>62249266</v>
      </c>
      <c r="N184" s="2">
        <f t="shared" si="4"/>
        <v>0.9844865398499382</v>
      </c>
      <c r="O184" s="4">
        <f t="shared" si="5"/>
        <v>0.0632513703014212</v>
      </c>
    </row>
    <row r="185" spans="1:15" ht="15.75" customHeight="1">
      <c r="A185" s="65" t="s">
        <v>13</v>
      </c>
      <c r="B185" s="66" t="s">
        <v>51</v>
      </c>
      <c r="C185" s="66">
        <v>2017</v>
      </c>
      <c r="D185" s="64" t="str">
        <f>CONCATENATE(Data!$C185,Data!$B185)</f>
        <v>2017-Q3</v>
      </c>
      <c r="E185" s="48">
        <v>18045584</v>
      </c>
      <c r="F185" s="48">
        <v>13991757</v>
      </c>
      <c r="G185" s="48">
        <v>523969</v>
      </c>
      <c r="H185" s="48">
        <v>5719269</v>
      </c>
      <c r="I185" s="48">
        <v>5719269</v>
      </c>
      <c r="J185" s="48">
        <v>1445270</v>
      </c>
      <c r="K185" s="48">
        <v>7529153</v>
      </c>
      <c r="L185" s="59">
        <v>-3255154</v>
      </c>
      <c r="M185" s="48">
        <v>-1308403</v>
      </c>
      <c r="N185" s="2">
        <f t="shared" si="4"/>
        <v>0.2527018750123486</v>
      </c>
      <c r="O185" s="4">
        <f t="shared" si="5"/>
        <v>1.3164537286146185</v>
      </c>
    </row>
    <row r="186" spans="1:15" ht="15.75" customHeight="1">
      <c r="A186" s="65" t="s">
        <v>14</v>
      </c>
      <c r="B186" s="66" t="s">
        <v>51</v>
      </c>
      <c r="C186" s="66">
        <v>2017</v>
      </c>
      <c r="D186" s="64" t="str">
        <f>CONCATENATE(Data!$C186,Data!$B186)</f>
        <v>2017-Q3</v>
      </c>
      <c r="E186" s="48">
        <v>291785582</v>
      </c>
      <c r="F186" s="48">
        <v>94122534</v>
      </c>
      <c r="G186" s="48">
        <v>70106188</v>
      </c>
      <c r="H186" s="48">
        <v>422442255</v>
      </c>
      <c r="I186" s="48">
        <v>422442255</v>
      </c>
      <c r="J186" s="48">
        <v>390387414</v>
      </c>
      <c r="K186" s="48">
        <v>23436819</v>
      </c>
      <c r="L186" s="59">
        <v>8618022</v>
      </c>
      <c r="M186" s="48">
        <v>30951122</v>
      </c>
      <c r="N186" s="2">
        <f t="shared" si="4"/>
        <v>0.9241201830058406</v>
      </c>
      <c r="O186" s="4">
        <f t="shared" si="5"/>
        <v>0.055479343561405804</v>
      </c>
    </row>
    <row r="187" spans="1:15" ht="15.75" customHeight="1">
      <c r="A187" s="65" t="s">
        <v>15</v>
      </c>
      <c r="B187" s="66" t="s">
        <v>51</v>
      </c>
      <c r="C187" s="66">
        <v>2017</v>
      </c>
      <c r="D187" s="64" t="str">
        <f>CONCATENATE(Data!$C187,Data!$B187)</f>
        <v>2017-Q3</v>
      </c>
      <c r="E187" s="48">
        <v>304025224</v>
      </c>
      <c r="F187" s="48">
        <v>191973398</v>
      </c>
      <c r="G187" s="48">
        <v>79531833</v>
      </c>
      <c r="H187" s="48">
        <v>513203057</v>
      </c>
      <c r="I187" s="48">
        <v>513811153</v>
      </c>
      <c r="J187" s="48">
        <v>411276018</v>
      </c>
      <c r="K187" s="48">
        <v>70074526</v>
      </c>
      <c r="L187" s="59">
        <v>32460609</v>
      </c>
      <c r="M187" s="48">
        <v>22053636</v>
      </c>
      <c r="N187" s="2">
        <f t="shared" si="4"/>
        <v>0.8013904289740036</v>
      </c>
      <c r="O187" s="4">
        <f t="shared" si="5"/>
        <v>0.13654346957640978</v>
      </c>
    </row>
    <row r="188" spans="1:15" ht="15.75" customHeight="1">
      <c r="A188" s="65" t="s">
        <v>16</v>
      </c>
      <c r="B188" s="66" t="s">
        <v>51</v>
      </c>
      <c r="C188" s="66">
        <v>2017</v>
      </c>
      <c r="D188" s="64" t="str">
        <f>CONCATENATE(Data!$C188,Data!$B188)</f>
        <v>2017-Q3</v>
      </c>
      <c r="E188" s="48">
        <v>910457163</v>
      </c>
      <c r="F188" s="48">
        <v>507140124</v>
      </c>
      <c r="G188" s="48">
        <v>155719269</v>
      </c>
      <c r="H188" s="48">
        <v>974859765</v>
      </c>
      <c r="I188" s="48">
        <v>974859765</v>
      </c>
      <c r="J188" s="48">
        <v>892247660</v>
      </c>
      <c r="K188" s="48">
        <v>85322551</v>
      </c>
      <c r="L188" s="59">
        <v>-2710446</v>
      </c>
      <c r="M188" s="48">
        <v>3890203</v>
      </c>
      <c r="N188" s="2">
        <f t="shared" si="4"/>
        <v>0.9152574473108961</v>
      </c>
      <c r="O188" s="4">
        <f t="shared" si="5"/>
        <v>0.08752289720357881</v>
      </c>
    </row>
    <row r="189" spans="1:15" ht="15.75" customHeight="1">
      <c r="A189" s="65" t="s">
        <v>17</v>
      </c>
      <c r="B189" s="66" t="s">
        <v>51</v>
      </c>
      <c r="C189" s="66">
        <v>2017</v>
      </c>
      <c r="D189" s="64" t="str">
        <f>CONCATENATE(Data!$C189,Data!$B189)</f>
        <v>2017-Q3</v>
      </c>
      <c r="E189" s="48">
        <v>1253363264</v>
      </c>
      <c r="F189" s="48">
        <v>730821402</v>
      </c>
      <c r="G189" s="48">
        <v>202866529</v>
      </c>
      <c r="H189" s="48">
        <v>1443492697</v>
      </c>
      <c r="I189" s="48">
        <v>1431556933</v>
      </c>
      <c r="J189" s="48">
        <v>1196297995</v>
      </c>
      <c r="K189" s="48">
        <v>167117239</v>
      </c>
      <c r="L189" s="59">
        <v>68141699</v>
      </c>
      <c r="M189" s="48">
        <v>65049435</v>
      </c>
      <c r="N189" s="2">
        <f t="shared" si="4"/>
        <v>0.8287523708892031</v>
      </c>
      <c r="O189" s="4">
        <f t="shared" si="5"/>
        <v>0.11577283303706247</v>
      </c>
    </row>
    <row r="190" spans="1:15" ht="15.75" customHeight="1">
      <c r="A190" s="65" t="s">
        <v>20</v>
      </c>
      <c r="B190" s="66" t="s">
        <v>51</v>
      </c>
      <c r="C190" s="66">
        <v>2017</v>
      </c>
      <c r="D190" s="64" t="str">
        <f>CONCATENATE(Data!$C190,Data!$B190)</f>
        <v>2017-Q3</v>
      </c>
      <c r="E190" s="48">
        <v>35832537</v>
      </c>
      <c r="F190" s="48">
        <v>12414164</v>
      </c>
      <c r="G190" s="48">
        <v>14622908</v>
      </c>
      <c r="H190" s="48">
        <v>63372088</v>
      </c>
      <c r="I190" s="48">
        <v>71558634</v>
      </c>
      <c r="J190" s="48">
        <v>58574664</v>
      </c>
      <c r="K190" s="48">
        <v>8780517</v>
      </c>
      <c r="L190" s="59">
        <v>4203452</v>
      </c>
      <c r="M190" s="48">
        <v>2849756</v>
      </c>
      <c r="N190" s="2">
        <f t="shared" si="4"/>
        <v>0.9242975235406478</v>
      </c>
      <c r="O190" s="4">
        <f t="shared" si="5"/>
        <v>0.13855495813866825</v>
      </c>
    </row>
    <row r="191" spans="1:15" ht="15.75" customHeight="1">
      <c r="A191" s="65" t="s">
        <v>21</v>
      </c>
      <c r="B191" s="66" t="s">
        <v>51</v>
      </c>
      <c r="C191" s="66">
        <v>2017</v>
      </c>
      <c r="D191" s="64" t="str">
        <f>CONCATENATE(Data!$C191,Data!$B191)</f>
        <v>2017-Q3</v>
      </c>
      <c r="E191" s="48">
        <v>175778102</v>
      </c>
      <c r="F191" s="48">
        <v>67183490</v>
      </c>
      <c r="G191" s="48">
        <v>92855982</v>
      </c>
      <c r="H191" s="48">
        <v>358171720</v>
      </c>
      <c r="I191" s="48">
        <v>370523294</v>
      </c>
      <c r="J191" s="48">
        <v>344119604</v>
      </c>
      <c r="K191" s="48">
        <v>24957545</v>
      </c>
      <c r="L191" s="59">
        <v>3474678</v>
      </c>
      <c r="M191" s="48">
        <v>3932409</v>
      </c>
      <c r="N191" s="2">
        <f t="shared" si="4"/>
        <v>0.960767097971889</v>
      </c>
      <c r="O191" s="4">
        <f t="shared" si="5"/>
        <v>0.06968038961870021</v>
      </c>
    </row>
    <row r="192" spans="1:15" ht="15.75" customHeight="1">
      <c r="A192" s="65" t="s">
        <v>18</v>
      </c>
      <c r="B192" s="66" t="s">
        <v>52</v>
      </c>
      <c r="C192" s="66">
        <v>2017</v>
      </c>
      <c r="D192" s="64" t="str">
        <f>CONCATENATE(Data!$C192,Data!$B192)</f>
        <v>2017-Q4</v>
      </c>
      <c r="E192" s="48">
        <v>52548834</v>
      </c>
      <c r="F192" s="48">
        <v>16904456</v>
      </c>
      <c r="G192" s="48">
        <v>21903287</v>
      </c>
      <c r="H192" s="48">
        <v>258988089</v>
      </c>
      <c r="I192" s="48">
        <v>259000468</v>
      </c>
      <c r="J192" s="48">
        <v>235263649</v>
      </c>
      <c r="K192" s="48">
        <v>35612851</v>
      </c>
      <c r="L192" s="59">
        <v>-11876032</v>
      </c>
      <c r="M192" s="48">
        <v>-9067026</v>
      </c>
      <c r="N192" s="2">
        <f t="shared" si="4"/>
        <v>0.9083956328200097</v>
      </c>
      <c r="O192" s="4">
        <f t="shared" si="5"/>
        <v>0.13750767897283492</v>
      </c>
    </row>
    <row r="193" spans="1:15" ht="15.75" customHeight="1">
      <c r="A193" s="65" t="s">
        <v>11</v>
      </c>
      <c r="B193" s="66" t="s">
        <v>52</v>
      </c>
      <c r="C193" s="66">
        <v>2017</v>
      </c>
      <c r="D193" s="64" t="str">
        <f>CONCATENATE(Data!$C193,Data!$B193)</f>
        <v>2017-Q4</v>
      </c>
      <c r="E193" s="48">
        <v>182947422</v>
      </c>
      <c r="F193" s="48">
        <v>73059383</v>
      </c>
      <c r="G193" s="48">
        <v>48577679</v>
      </c>
      <c r="H193" s="48">
        <v>526473594</v>
      </c>
      <c r="I193" s="48">
        <v>526473594</v>
      </c>
      <c r="J193" s="48">
        <v>494651986</v>
      </c>
      <c r="K193" s="48">
        <v>70756158</v>
      </c>
      <c r="L193" s="59">
        <v>-39822354</v>
      </c>
      <c r="M193" s="48">
        <v>-23493133</v>
      </c>
      <c r="N193" s="2">
        <f t="shared" si="4"/>
        <v>0.9395570673198854</v>
      </c>
      <c r="O193" s="4">
        <f t="shared" si="5"/>
        <v>0.13439640431424943</v>
      </c>
    </row>
    <row r="194" spans="1:15" ht="15.75" customHeight="1">
      <c r="A194" s="65" t="s">
        <v>12</v>
      </c>
      <c r="B194" s="66" t="s">
        <v>52</v>
      </c>
      <c r="C194" s="66">
        <v>2017</v>
      </c>
      <c r="D194" s="64" t="str">
        <f>CONCATENATE(Data!$C194,Data!$B194)</f>
        <v>2017-Q4</v>
      </c>
      <c r="E194" s="48">
        <v>1191988786</v>
      </c>
      <c r="F194" s="48">
        <v>353163052</v>
      </c>
      <c r="G194" s="48">
        <v>92117163</v>
      </c>
      <c r="H194" s="48">
        <v>3537415229</v>
      </c>
      <c r="I194" s="48">
        <v>3765165184</v>
      </c>
      <c r="J194" s="48">
        <v>3548829209</v>
      </c>
      <c r="K194" s="48">
        <v>235400506</v>
      </c>
      <c r="L194" s="59">
        <v>-19064531</v>
      </c>
      <c r="M194" s="48">
        <v>-1569851</v>
      </c>
      <c r="N194" s="2">
        <f aca="true" t="shared" si="6" ref="N194:N211">_xlfn.IFERROR(SUM(J194/H194),"N/A")</f>
        <v>1.0032266441062467</v>
      </c>
      <c r="O194" s="4">
        <f aca="true" t="shared" si="7" ref="O194:O211">_xlfn.IFERROR(SUM(K194/H194),"N/A")</f>
        <v>0.06654590732526074</v>
      </c>
    </row>
    <row r="195" spans="1:15" ht="15.75" customHeight="1">
      <c r="A195" s="65" t="s">
        <v>13</v>
      </c>
      <c r="B195" s="66" t="s">
        <v>52</v>
      </c>
      <c r="C195" s="66">
        <v>2017</v>
      </c>
      <c r="D195" s="64" t="str">
        <f>CONCATENATE(Data!$C195,Data!$B195)</f>
        <v>2017-Q4</v>
      </c>
      <c r="E195" s="48">
        <v>15993433</v>
      </c>
      <c r="F195" s="48">
        <v>9354630</v>
      </c>
      <c r="G195" s="48">
        <v>123558</v>
      </c>
      <c r="H195" s="48">
        <v>5712641</v>
      </c>
      <c r="I195" s="48">
        <v>5712641</v>
      </c>
      <c r="J195" s="48">
        <v>1128414</v>
      </c>
      <c r="K195" s="48">
        <v>12970044</v>
      </c>
      <c r="L195" s="59">
        <v>-8385817</v>
      </c>
      <c r="M195" s="48">
        <v>-5665592</v>
      </c>
      <c r="N195" s="2">
        <f t="shared" si="6"/>
        <v>0.1975293038718869</v>
      </c>
      <c r="O195" s="4">
        <f t="shared" si="7"/>
        <v>2.2704111810981997</v>
      </c>
    </row>
    <row r="196" spans="1:15" ht="15.75" customHeight="1">
      <c r="A196" s="65" t="s">
        <v>14</v>
      </c>
      <c r="B196" s="66" t="s">
        <v>52</v>
      </c>
      <c r="C196" s="66">
        <v>2017</v>
      </c>
      <c r="D196" s="64" t="str">
        <f>CONCATENATE(Data!$C196,Data!$B196)</f>
        <v>2017-Q4</v>
      </c>
      <c r="E196" s="48">
        <v>251811361</v>
      </c>
      <c r="F196" s="48">
        <v>90170964</v>
      </c>
      <c r="G196" s="48">
        <v>76572613</v>
      </c>
      <c r="H196" s="48">
        <v>561141440</v>
      </c>
      <c r="I196" s="48">
        <v>561141440</v>
      </c>
      <c r="J196" s="48">
        <v>520997889</v>
      </c>
      <c r="K196" s="48">
        <v>32202097</v>
      </c>
      <c r="L196" s="59">
        <v>7941454</v>
      </c>
      <c r="M196" s="48">
        <v>44165005</v>
      </c>
      <c r="N196" s="2">
        <f t="shared" si="6"/>
        <v>0.9284609046161338</v>
      </c>
      <c r="O196" s="4">
        <f t="shared" si="7"/>
        <v>0.05738677400122151</v>
      </c>
    </row>
    <row r="197" spans="1:15" ht="15.75" customHeight="1">
      <c r="A197" s="65" t="s">
        <v>15</v>
      </c>
      <c r="B197" s="66" t="s">
        <v>52</v>
      </c>
      <c r="C197" s="66">
        <v>2017</v>
      </c>
      <c r="D197" s="64" t="str">
        <f>CONCATENATE(Data!$C197,Data!$B197)</f>
        <v>2017-Q4</v>
      </c>
      <c r="E197" s="48">
        <v>275156676</v>
      </c>
      <c r="F197" s="48">
        <v>165928186</v>
      </c>
      <c r="G197" s="48">
        <v>83610776</v>
      </c>
      <c r="H197" s="48">
        <v>697918555</v>
      </c>
      <c r="I197" s="48">
        <v>698867056</v>
      </c>
      <c r="J197" s="48">
        <v>584562480</v>
      </c>
      <c r="K197" s="48">
        <v>94732513</v>
      </c>
      <c r="L197" s="59">
        <v>19572063</v>
      </c>
      <c r="M197" s="48">
        <v>20202476</v>
      </c>
      <c r="N197" s="2">
        <f t="shared" si="6"/>
        <v>0.8375797946796242</v>
      </c>
      <c r="O197" s="4">
        <f t="shared" si="7"/>
        <v>0.135735770773425</v>
      </c>
    </row>
    <row r="198" spans="1:15" ht="15.75" customHeight="1">
      <c r="A198" s="65" t="s">
        <v>16</v>
      </c>
      <c r="B198" s="66" t="s">
        <v>52</v>
      </c>
      <c r="C198" s="66">
        <v>2017</v>
      </c>
      <c r="D198" s="64" t="str">
        <f>CONCATENATE(Data!$C198,Data!$B198)</f>
        <v>2017-Q4</v>
      </c>
      <c r="E198" s="48">
        <v>812394325</v>
      </c>
      <c r="F198" s="48">
        <v>499237862</v>
      </c>
      <c r="G198" s="48">
        <v>121296242</v>
      </c>
      <c r="H198" s="48">
        <v>1294627843</v>
      </c>
      <c r="I198" s="48">
        <v>1294627843</v>
      </c>
      <c r="J198" s="48">
        <v>1176183970</v>
      </c>
      <c r="K198" s="48">
        <v>103353040</v>
      </c>
      <c r="L198" s="59">
        <v>8090833</v>
      </c>
      <c r="M198" s="48">
        <v>16502894</v>
      </c>
      <c r="N198" s="2">
        <f t="shared" si="6"/>
        <v>0.9085112577792752</v>
      </c>
      <c r="O198" s="4">
        <f t="shared" si="7"/>
        <v>0.07983223948011445</v>
      </c>
    </row>
    <row r="199" spans="1:15" ht="15.75" customHeight="1">
      <c r="A199" s="1" t="s">
        <v>17</v>
      </c>
      <c r="B199" s="66" t="s">
        <v>52</v>
      </c>
      <c r="C199" s="66">
        <v>2017</v>
      </c>
      <c r="D199" s="64" t="str">
        <f>CONCATENATE(Data!$C199,Data!$B199)</f>
        <v>2017-Q4</v>
      </c>
      <c r="E199" s="48">
        <v>1194792198</v>
      </c>
      <c r="F199" s="48">
        <v>730880423</v>
      </c>
      <c r="G199" s="48">
        <v>177446122</v>
      </c>
      <c r="H199" s="48">
        <v>1928013236</v>
      </c>
      <c r="I199" s="48">
        <v>1913431308</v>
      </c>
      <c r="J199" s="48">
        <v>1602445048</v>
      </c>
      <c r="K199" s="48">
        <v>227824725</v>
      </c>
      <c r="L199" s="59">
        <v>83161535</v>
      </c>
      <c r="M199" s="48">
        <v>78766132</v>
      </c>
      <c r="N199" s="2">
        <f t="shared" si="6"/>
        <v>0.8311379912124214</v>
      </c>
      <c r="O199" s="4">
        <f t="shared" si="7"/>
        <v>0.11816553991748634</v>
      </c>
    </row>
    <row r="200" spans="1:15" ht="15.75" customHeight="1">
      <c r="A200" s="65" t="s">
        <v>20</v>
      </c>
      <c r="B200" s="66" t="s">
        <v>52</v>
      </c>
      <c r="C200" s="66">
        <v>2017</v>
      </c>
      <c r="D200" s="64" t="str">
        <f>CONCATENATE(Data!$C200,Data!$B200)</f>
        <v>2017-Q4</v>
      </c>
      <c r="E200" s="48">
        <v>30764164</v>
      </c>
      <c r="F200" s="48">
        <v>15304850</v>
      </c>
      <c r="G200" s="48">
        <v>11324245</v>
      </c>
      <c r="H200" s="48">
        <v>81281065</v>
      </c>
      <c r="I200" s="48">
        <v>92195782</v>
      </c>
      <c r="J200" s="48">
        <v>72613441</v>
      </c>
      <c r="K200" s="48">
        <v>12093306</v>
      </c>
      <c r="L200" s="59">
        <v>7489034</v>
      </c>
      <c r="M200" s="48">
        <v>4524051</v>
      </c>
      <c r="N200" s="2">
        <f t="shared" si="6"/>
        <v>0.8933623224548054</v>
      </c>
      <c r="O200" s="4">
        <f t="shared" si="7"/>
        <v>0.14878380346025238</v>
      </c>
    </row>
    <row r="201" spans="1:15" ht="15.75" customHeight="1">
      <c r="A201" s="65" t="s">
        <v>21</v>
      </c>
      <c r="B201" s="66" t="s">
        <v>52</v>
      </c>
      <c r="C201" s="66">
        <v>2017</v>
      </c>
      <c r="D201" s="64" t="str">
        <f>CONCATENATE(Data!$C201,Data!$B201)</f>
        <v>2017-Q4</v>
      </c>
      <c r="E201" s="48">
        <v>156787005</v>
      </c>
      <c r="F201" s="48">
        <v>65473373</v>
      </c>
      <c r="G201" s="48">
        <v>79476814</v>
      </c>
      <c r="H201" s="48">
        <v>477473382</v>
      </c>
      <c r="I201" s="48">
        <v>491970798</v>
      </c>
      <c r="J201" s="48">
        <v>454553932</v>
      </c>
      <c r="K201" s="48">
        <v>32027846</v>
      </c>
      <c r="L201" s="59">
        <v>7417553</v>
      </c>
      <c r="M201" s="48">
        <v>7156283</v>
      </c>
      <c r="N201" s="2">
        <f t="shared" si="6"/>
        <v>0.9519984760113811</v>
      </c>
      <c r="O201" s="4">
        <f t="shared" si="7"/>
        <v>0.06707776225314273</v>
      </c>
    </row>
    <row r="202" spans="1:15" ht="15.75" customHeight="1">
      <c r="A202" s="65" t="s">
        <v>18</v>
      </c>
      <c r="B202" s="66" t="s">
        <v>49</v>
      </c>
      <c r="C202" s="66">
        <v>2018</v>
      </c>
      <c r="D202" s="64" t="str">
        <f>CONCATENATE(Data!$C202,Data!$B202)</f>
        <v>2018-Q1</v>
      </c>
      <c r="E202" s="48">
        <v>66473366</v>
      </c>
      <c r="F202" s="48">
        <v>13935259</v>
      </c>
      <c r="G202" s="48">
        <v>15656892</v>
      </c>
      <c r="H202" s="48">
        <v>55974337</v>
      </c>
      <c r="I202" s="48">
        <v>55974337</v>
      </c>
      <c r="J202" s="48">
        <v>45597833</v>
      </c>
      <c r="K202" s="48">
        <v>11779339</v>
      </c>
      <c r="L202" s="59">
        <v>-1402835</v>
      </c>
      <c r="M202" s="48">
        <v>-1300724</v>
      </c>
      <c r="N202" s="2">
        <f t="shared" si="6"/>
        <v>0.8146203321711519</v>
      </c>
      <c r="O202" s="4">
        <f t="shared" si="7"/>
        <v>0.21044177798836636</v>
      </c>
    </row>
    <row r="203" spans="1:15" ht="15.75" customHeight="1">
      <c r="A203" s="65" t="s">
        <v>11</v>
      </c>
      <c r="B203" s="66" t="s">
        <v>49</v>
      </c>
      <c r="C203" s="66">
        <v>2018</v>
      </c>
      <c r="D203" s="64" t="str">
        <f>CONCATENATE(Data!$C203,Data!$B203)</f>
        <v>2018-Q1</v>
      </c>
      <c r="E203" s="48">
        <v>188112090</v>
      </c>
      <c r="F203" s="48">
        <v>67192399</v>
      </c>
      <c r="G203" s="48">
        <v>48336025</v>
      </c>
      <c r="H203" s="48">
        <v>122182117</v>
      </c>
      <c r="I203" s="48">
        <v>122182117</v>
      </c>
      <c r="J203" s="48">
        <v>105996946</v>
      </c>
      <c r="K203" s="48">
        <v>25263505</v>
      </c>
      <c r="L203" s="59">
        <v>2089373</v>
      </c>
      <c r="M203" s="48">
        <v>2476456</v>
      </c>
      <c r="N203" s="2">
        <f t="shared" si="6"/>
        <v>0.8675324065632289</v>
      </c>
      <c r="O203" s="4">
        <f t="shared" si="7"/>
        <v>0.206769252492163</v>
      </c>
    </row>
    <row r="204" spans="1:15" ht="15.75" customHeight="1">
      <c r="A204" s="65" t="s">
        <v>12</v>
      </c>
      <c r="B204" s="66" t="s">
        <v>49</v>
      </c>
      <c r="C204" s="66">
        <v>2018</v>
      </c>
      <c r="D204" s="64" t="str">
        <f>CONCATENATE(Data!$C204,Data!$B204)</f>
        <v>2018-Q1</v>
      </c>
      <c r="E204" s="48">
        <v>1306497927</v>
      </c>
      <c r="F204" s="48">
        <v>329461478</v>
      </c>
      <c r="G204" s="48">
        <v>102868448</v>
      </c>
      <c r="H204" s="48">
        <v>958298977</v>
      </c>
      <c r="I204" s="48">
        <v>1018173845</v>
      </c>
      <c r="J204" s="48">
        <v>916930162</v>
      </c>
      <c r="K204" s="48">
        <v>108430168</v>
      </c>
      <c r="L204" s="59">
        <v>-7186485</v>
      </c>
      <c r="M204" s="48">
        <v>-9153283</v>
      </c>
      <c r="N204" s="2">
        <f t="shared" si="6"/>
        <v>0.9568309932569197</v>
      </c>
      <c r="O204" s="4">
        <f t="shared" si="7"/>
        <v>0.11314857951684947</v>
      </c>
    </row>
    <row r="205" spans="1:15" ht="15.75" customHeight="1">
      <c r="A205" s="65" t="s">
        <v>13</v>
      </c>
      <c r="B205" s="66" t="s">
        <v>49</v>
      </c>
      <c r="C205" s="66">
        <v>2018</v>
      </c>
      <c r="D205" s="64" t="str">
        <f>CONCATENATE(Data!$C205,Data!$B205)</f>
        <v>2018-Q1</v>
      </c>
      <c r="E205" s="48">
        <v>13040380</v>
      </c>
      <c r="F205" s="48">
        <v>10768559</v>
      </c>
      <c r="G205" s="48">
        <v>68197</v>
      </c>
      <c r="H205" s="48">
        <v>362056</v>
      </c>
      <c r="I205" s="48">
        <v>362056</v>
      </c>
      <c r="J205" s="48">
        <v>-96446</v>
      </c>
      <c r="K205" s="48">
        <v>-597574</v>
      </c>
      <c r="L205" s="59">
        <v>1056076</v>
      </c>
      <c r="M205" s="48">
        <v>1291449</v>
      </c>
      <c r="N205" s="2">
        <f t="shared" si="6"/>
        <v>-0.26638420575822525</v>
      </c>
      <c r="O205" s="4">
        <f t="shared" si="7"/>
        <v>-1.650501579866098</v>
      </c>
    </row>
    <row r="206" spans="1:15" ht="15.75" customHeight="1">
      <c r="A206" s="65" t="s">
        <v>14</v>
      </c>
      <c r="B206" s="66" t="s">
        <v>49</v>
      </c>
      <c r="C206" s="66">
        <v>2018</v>
      </c>
      <c r="D206" s="64" t="str">
        <f>CONCATENATE(Data!$C206,Data!$B206)</f>
        <v>2018-Q1</v>
      </c>
      <c r="E206" s="48">
        <v>278241589</v>
      </c>
      <c r="F206" s="48">
        <v>75857339</v>
      </c>
      <c r="G206" s="48">
        <v>64794186</v>
      </c>
      <c r="H206" s="48">
        <v>168376040</v>
      </c>
      <c r="I206" s="48">
        <v>168376040</v>
      </c>
      <c r="J206" s="48">
        <v>146937101</v>
      </c>
      <c r="K206" s="48">
        <v>36001475</v>
      </c>
      <c r="L206" s="59">
        <v>-14562536</v>
      </c>
      <c r="M206" s="48">
        <v>-15678538</v>
      </c>
      <c r="N206" s="2">
        <f t="shared" si="6"/>
        <v>0.8726722697599967</v>
      </c>
      <c r="O206" s="4">
        <f t="shared" si="7"/>
        <v>0.21381590278521814</v>
      </c>
    </row>
    <row r="207" spans="1:15" ht="15.75" customHeight="1">
      <c r="A207" s="65" t="s">
        <v>15</v>
      </c>
      <c r="B207" s="66" t="s">
        <v>49</v>
      </c>
      <c r="C207" s="66">
        <v>2018</v>
      </c>
      <c r="D207" s="64" t="str">
        <f>CONCATENATE(Data!$C207,Data!$B207)</f>
        <v>2018-Q1</v>
      </c>
      <c r="E207" s="48">
        <v>326549088</v>
      </c>
      <c r="F207" s="48">
        <v>186078743</v>
      </c>
      <c r="G207" s="48">
        <v>87747116</v>
      </c>
      <c r="H207" s="48">
        <v>200944603</v>
      </c>
      <c r="I207" s="48">
        <v>200815118</v>
      </c>
      <c r="J207" s="48">
        <v>153714831</v>
      </c>
      <c r="K207" s="48">
        <v>45602007</v>
      </c>
      <c r="L207" s="59">
        <v>1498280</v>
      </c>
      <c r="M207" s="48">
        <v>-6156781</v>
      </c>
      <c r="N207" s="2">
        <f t="shared" si="6"/>
        <v>0.7649612316285996</v>
      </c>
      <c r="O207" s="4">
        <f t="shared" si="7"/>
        <v>0.22693820246568155</v>
      </c>
    </row>
    <row r="208" spans="1:15" ht="15.75" customHeight="1">
      <c r="A208" s="65" t="s">
        <v>16</v>
      </c>
      <c r="B208" s="66" t="s">
        <v>49</v>
      </c>
      <c r="C208" s="66">
        <v>2018</v>
      </c>
      <c r="D208" s="64" t="str">
        <f>CONCATENATE(Data!$C208,Data!$B208)</f>
        <v>2018-Q1</v>
      </c>
      <c r="E208" s="48">
        <v>865305397</v>
      </c>
      <c r="F208" s="48">
        <v>492245760</v>
      </c>
      <c r="G208" s="48">
        <v>145960556</v>
      </c>
      <c r="H208" s="48">
        <v>347781784</v>
      </c>
      <c r="I208" s="48">
        <v>347781784</v>
      </c>
      <c r="J208" s="48">
        <v>304899448</v>
      </c>
      <c r="K208" s="48">
        <v>47266391</v>
      </c>
      <c r="L208" s="59">
        <v>-4384055</v>
      </c>
      <c r="M208" s="48">
        <v>-4899224</v>
      </c>
      <c r="N208" s="2">
        <f t="shared" si="6"/>
        <v>0.8766975788473154</v>
      </c>
      <c r="O208" s="4">
        <f t="shared" si="7"/>
        <v>0.13590818488641718</v>
      </c>
    </row>
    <row r="209" spans="1:15" ht="15.75" customHeight="1">
      <c r="A209" s="1" t="s">
        <v>17</v>
      </c>
      <c r="B209" s="66" t="s">
        <v>49</v>
      </c>
      <c r="C209" s="66">
        <v>2018</v>
      </c>
      <c r="D209" s="64" t="str">
        <f>CONCATENATE(Data!$C209,Data!$B209)</f>
        <v>2018-Q1</v>
      </c>
      <c r="E209" s="48">
        <v>1258467575</v>
      </c>
      <c r="F209" s="48">
        <v>717672195</v>
      </c>
      <c r="G209" s="48">
        <v>189035493</v>
      </c>
      <c r="H209" s="48">
        <v>492259184</v>
      </c>
      <c r="I209" s="48">
        <v>487826702</v>
      </c>
      <c r="J209" s="48">
        <v>403302291</v>
      </c>
      <c r="K209" s="48">
        <v>96813708</v>
      </c>
      <c r="L209" s="59">
        <v>-12289297</v>
      </c>
      <c r="M209" s="48">
        <v>-6035742</v>
      </c>
      <c r="N209" s="2">
        <f t="shared" si="6"/>
        <v>0.8192885051383826</v>
      </c>
      <c r="O209" s="4">
        <f t="shared" si="7"/>
        <v>0.19667222298081086</v>
      </c>
    </row>
    <row r="210" spans="1:15" ht="15.75" customHeight="1">
      <c r="A210" s="65" t="s">
        <v>20</v>
      </c>
      <c r="B210" s="66" t="s">
        <v>49</v>
      </c>
      <c r="C210" s="66">
        <v>2018</v>
      </c>
      <c r="D210" s="64" t="str">
        <f>CONCATENATE(Data!$C210,Data!$B210)</f>
        <v>2018-Q1</v>
      </c>
      <c r="E210" s="48">
        <v>33655536</v>
      </c>
      <c r="F210" s="48">
        <v>14151782</v>
      </c>
      <c r="G210" s="48">
        <v>10640653</v>
      </c>
      <c r="H210" s="48">
        <v>20435059</v>
      </c>
      <c r="I210" s="48">
        <v>21599340</v>
      </c>
      <c r="J210" s="48">
        <v>19311287</v>
      </c>
      <c r="K210" s="48">
        <v>3161918</v>
      </c>
      <c r="L210" s="59">
        <v>-873864</v>
      </c>
      <c r="M210" s="48">
        <v>-592674</v>
      </c>
      <c r="N210" s="2">
        <f t="shared" si="6"/>
        <v>0.9450076459284996</v>
      </c>
      <c r="O210" s="4">
        <f t="shared" si="7"/>
        <v>0.15473006464038103</v>
      </c>
    </row>
    <row r="211" spans="1:15" ht="15.75" customHeight="1">
      <c r="A211" s="65" t="s">
        <v>21</v>
      </c>
      <c r="B211" s="66" t="s">
        <v>49</v>
      </c>
      <c r="C211" s="66">
        <v>2018</v>
      </c>
      <c r="D211" s="64" t="str">
        <f>CONCATENATE(Data!$C211,Data!$B211)</f>
        <v>2018-Q1</v>
      </c>
      <c r="E211" s="48">
        <v>158995851</v>
      </c>
      <c r="F211" s="48">
        <v>56450471</v>
      </c>
      <c r="G211" s="48">
        <v>78873079</v>
      </c>
      <c r="H211" s="48">
        <v>124843190</v>
      </c>
      <c r="I211" s="48">
        <v>129028991</v>
      </c>
      <c r="J211" s="48">
        <v>119045246</v>
      </c>
      <c r="K211" s="48">
        <v>19243863</v>
      </c>
      <c r="L211" s="59">
        <v>-9369852</v>
      </c>
      <c r="M211" s="48">
        <v>-8897414</v>
      </c>
      <c r="N211" s="2">
        <f t="shared" si="6"/>
        <v>0.9535581876752749</v>
      </c>
      <c r="O211" s="4">
        <f t="shared" si="7"/>
        <v>0.15414427490998908</v>
      </c>
    </row>
    <row r="212" spans="1:15" ht="15.75" customHeight="1">
      <c r="A212" s="65" t="s">
        <v>18</v>
      </c>
      <c r="B212" s="66" t="s">
        <v>50</v>
      </c>
      <c r="C212" s="66">
        <v>2018</v>
      </c>
      <c r="D212" s="64" t="str">
        <f>CONCATENATE(Data!$C212,Data!$B212)</f>
        <v>2018-Q2</v>
      </c>
      <c r="E212" s="48">
        <v>68253512</v>
      </c>
      <c r="F212" s="48">
        <v>18572283</v>
      </c>
      <c r="G212" s="48">
        <v>13153120</v>
      </c>
      <c r="H212" s="48">
        <v>116338149</v>
      </c>
      <c r="I212" s="48">
        <v>116338149</v>
      </c>
      <c r="J212" s="48">
        <v>90424932</v>
      </c>
      <c r="K212" s="48">
        <v>21053724</v>
      </c>
      <c r="L212" s="59">
        <v>4859493</v>
      </c>
      <c r="M212" s="48">
        <v>4166640</v>
      </c>
      <c r="N212" s="2">
        <f aca="true" t="shared" si="8" ref="N212:N221">_xlfn.IFERROR(SUM(J212/H212),"N/A")</f>
        <v>0.777259504102992</v>
      </c>
      <c r="O212" s="4">
        <f aca="true" t="shared" si="9" ref="O212:O221">_xlfn.IFERROR(SUM(K212/H212),"N/A")</f>
        <v>0.18097007886897015</v>
      </c>
    </row>
    <row r="213" spans="1:15" ht="15.75" customHeight="1">
      <c r="A213" s="65" t="s">
        <v>11</v>
      </c>
      <c r="B213" s="66" t="s">
        <v>50</v>
      </c>
      <c r="C213" s="66">
        <v>2018</v>
      </c>
      <c r="D213" s="64" t="str">
        <f>CONCATENATE(Data!$C213,Data!$B213)</f>
        <v>2018-Q2</v>
      </c>
      <c r="E213" s="48">
        <v>188911155</v>
      </c>
      <c r="F213" s="48">
        <v>65879903</v>
      </c>
      <c r="G213" s="48">
        <v>61887430</v>
      </c>
      <c r="H213" s="48">
        <v>249510733</v>
      </c>
      <c r="I213" s="48">
        <v>249510733</v>
      </c>
      <c r="J213" s="48">
        <v>225630876</v>
      </c>
      <c r="K213" s="48">
        <v>43578837</v>
      </c>
      <c r="L213" s="59">
        <v>-5421138</v>
      </c>
      <c r="M213" s="48">
        <v>-1950954</v>
      </c>
      <c r="N213" s="2">
        <f t="shared" si="8"/>
        <v>0.9042932674162758</v>
      </c>
      <c r="O213" s="4">
        <f t="shared" si="9"/>
        <v>0.1746571639465305</v>
      </c>
    </row>
    <row r="214" spans="1:15" ht="15.75" customHeight="1">
      <c r="A214" s="65" t="s">
        <v>12</v>
      </c>
      <c r="B214" s="66" t="s">
        <v>50</v>
      </c>
      <c r="C214" s="66">
        <v>2018</v>
      </c>
      <c r="D214" s="64" t="str">
        <f>CONCATENATE(Data!$C214,Data!$B214)</f>
        <v>2018-Q2</v>
      </c>
      <c r="E214" s="48">
        <v>1328054989</v>
      </c>
      <c r="F214" s="48">
        <v>364270631</v>
      </c>
      <c r="G214" s="48">
        <v>86694889</v>
      </c>
      <c r="H214" s="48">
        <v>1881021893</v>
      </c>
      <c r="I214" s="48">
        <v>2001984018</v>
      </c>
      <c r="J214" s="48">
        <v>1834794494</v>
      </c>
      <c r="K214" s="48">
        <v>174380791</v>
      </c>
      <c r="L214" s="59">
        <v>-7191267</v>
      </c>
      <c r="M214" s="48">
        <v>-6742650</v>
      </c>
      <c r="N214" s="2">
        <f t="shared" si="8"/>
        <v>0.9754243163399481</v>
      </c>
      <c r="O214" s="4">
        <f t="shared" si="9"/>
        <v>0.09270534896427172</v>
      </c>
    </row>
    <row r="215" spans="1:15" ht="15.75" customHeight="1">
      <c r="A215" s="65" t="s">
        <v>13</v>
      </c>
      <c r="B215" s="66" t="s">
        <v>50</v>
      </c>
      <c r="C215" s="66">
        <v>2018</v>
      </c>
      <c r="D215" s="64" t="str">
        <f>CONCATENATE(Data!$C215,Data!$B215)</f>
        <v>2018-Q2</v>
      </c>
      <c r="E215" s="48">
        <v>13171689</v>
      </c>
      <c r="F215" s="48">
        <v>10891098</v>
      </c>
      <c r="G215" s="48">
        <v>19161</v>
      </c>
      <c r="H215" s="48">
        <v>654449</v>
      </c>
      <c r="I215" s="48">
        <v>654449</v>
      </c>
      <c r="J215" s="48">
        <v>-72540</v>
      </c>
      <c r="K215" s="48">
        <v>-782269</v>
      </c>
      <c r="L215" s="59">
        <v>1509258</v>
      </c>
      <c r="M215" s="48">
        <v>1414082</v>
      </c>
      <c r="N215" s="2">
        <f t="shared" si="8"/>
        <v>-0.11084133370209137</v>
      </c>
      <c r="O215" s="4">
        <f t="shared" si="9"/>
        <v>-1.195309336556401</v>
      </c>
    </row>
    <row r="216" spans="1:15" ht="15.75" customHeight="1">
      <c r="A216" s="65" t="s">
        <v>14</v>
      </c>
      <c r="B216" s="66" t="s">
        <v>50</v>
      </c>
      <c r="C216" s="66">
        <v>2018</v>
      </c>
      <c r="D216" s="64" t="str">
        <f>CONCATENATE(Data!$C216,Data!$B216)</f>
        <v>2018-Q2</v>
      </c>
      <c r="E216" s="48">
        <v>274039451</v>
      </c>
      <c r="F216" s="48">
        <v>82302877</v>
      </c>
      <c r="G216" s="48">
        <v>59942504</v>
      </c>
      <c r="H216" s="48">
        <v>338476862</v>
      </c>
      <c r="I216" s="48">
        <v>338476862</v>
      </c>
      <c r="J216" s="48">
        <v>293053015</v>
      </c>
      <c r="K216" s="48">
        <v>55588237</v>
      </c>
      <c r="L216" s="59">
        <v>-10164390</v>
      </c>
      <c r="M216" s="48">
        <v>-12254021</v>
      </c>
      <c r="N216" s="2">
        <f t="shared" si="8"/>
        <v>0.8657992551349049</v>
      </c>
      <c r="O216" s="4">
        <f t="shared" si="9"/>
        <v>0.16423053756625763</v>
      </c>
    </row>
    <row r="217" spans="1:15" ht="15.75" customHeight="1">
      <c r="A217" s="65" t="s">
        <v>15</v>
      </c>
      <c r="B217" s="66" t="s">
        <v>50</v>
      </c>
      <c r="C217" s="66">
        <v>2018</v>
      </c>
      <c r="D217" s="64" t="str">
        <f>CONCATENATE(Data!$C217,Data!$B217)</f>
        <v>2018-Q2</v>
      </c>
      <c r="E217" s="48">
        <v>332618012</v>
      </c>
      <c r="F217" s="48">
        <v>202015400</v>
      </c>
      <c r="G217" s="48">
        <v>84300780</v>
      </c>
      <c r="H217" s="48">
        <v>395043412</v>
      </c>
      <c r="I217" s="48">
        <v>394739446</v>
      </c>
      <c r="J217" s="48">
        <v>310885507</v>
      </c>
      <c r="K217" s="48">
        <v>70435178</v>
      </c>
      <c r="L217" s="59">
        <v>13418762</v>
      </c>
      <c r="M217" s="48">
        <v>4338837</v>
      </c>
      <c r="N217" s="2">
        <f t="shared" si="8"/>
        <v>0.7869654259669061</v>
      </c>
      <c r="O217" s="4">
        <f t="shared" si="9"/>
        <v>0.17829731077758107</v>
      </c>
    </row>
    <row r="218" spans="1:15" ht="15.75" customHeight="1">
      <c r="A218" s="65" t="s">
        <v>16</v>
      </c>
      <c r="B218" s="66" t="s">
        <v>50</v>
      </c>
      <c r="C218" s="66">
        <v>2018</v>
      </c>
      <c r="D218" s="64" t="str">
        <f>CONCATENATE(Data!$C218,Data!$B218)</f>
        <v>2018-Q2</v>
      </c>
      <c r="E218" s="48">
        <v>888071604</v>
      </c>
      <c r="F218" s="48">
        <v>532492384</v>
      </c>
      <c r="G218" s="48">
        <v>151329968</v>
      </c>
      <c r="H218" s="48">
        <v>710176187</v>
      </c>
      <c r="I218" s="48">
        <v>710176187</v>
      </c>
      <c r="J218" s="48">
        <v>609454396</v>
      </c>
      <c r="K218" s="48">
        <v>78806598</v>
      </c>
      <c r="L218" s="59">
        <v>21915193</v>
      </c>
      <c r="M218" s="48">
        <v>22995658</v>
      </c>
      <c r="N218" s="2">
        <f t="shared" si="8"/>
        <v>0.858173516876876</v>
      </c>
      <c r="O218" s="4">
        <f t="shared" si="9"/>
        <v>0.1109676717448145</v>
      </c>
    </row>
    <row r="219" spans="1:15" ht="15.75" customHeight="1">
      <c r="A219" s="65" t="s">
        <v>17</v>
      </c>
      <c r="B219" s="66" t="s">
        <v>50</v>
      </c>
      <c r="C219" s="66">
        <v>2018</v>
      </c>
      <c r="D219" s="64" t="str">
        <f>CONCATENATE(Data!$C219,Data!$B219)</f>
        <v>2018-Q2</v>
      </c>
      <c r="E219" s="48">
        <v>1319079055</v>
      </c>
      <c r="F219" s="48">
        <v>765657388</v>
      </c>
      <c r="G219" s="48">
        <v>184878757</v>
      </c>
      <c r="H219" s="48">
        <v>990398305</v>
      </c>
      <c r="I219" s="48">
        <v>978518889</v>
      </c>
      <c r="J219" s="48">
        <v>800148458</v>
      </c>
      <c r="K219" s="48">
        <v>148683449</v>
      </c>
      <c r="L219" s="59">
        <v>29686982</v>
      </c>
      <c r="M219" s="48">
        <v>33288644</v>
      </c>
      <c r="N219" s="2">
        <f t="shared" si="8"/>
        <v>0.8079057223346117</v>
      </c>
      <c r="O219" s="4">
        <f t="shared" si="9"/>
        <v>0.15012490252595898</v>
      </c>
    </row>
    <row r="220" spans="1:15" ht="15.75" customHeight="1">
      <c r="A220" s="65" t="s">
        <v>20</v>
      </c>
      <c r="B220" s="66" t="s">
        <v>50</v>
      </c>
      <c r="C220" s="66">
        <v>2018</v>
      </c>
      <c r="D220" s="64" t="str">
        <f>CONCATENATE(Data!$C220,Data!$B220)</f>
        <v>2018-Q2</v>
      </c>
      <c r="E220" s="48">
        <v>31846637</v>
      </c>
      <c r="F220" s="48">
        <v>13449520</v>
      </c>
      <c r="G220" s="48">
        <v>9597514</v>
      </c>
      <c r="H220" s="48">
        <v>41908002</v>
      </c>
      <c r="I220" s="48">
        <v>44323456</v>
      </c>
      <c r="J220" s="48">
        <v>40133599</v>
      </c>
      <c r="K220" s="48">
        <v>6388352</v>
      </c>
      <c r="L220" s="59">
        <v>-2198496</v>
      </c>
      <c r="M220" s="48">
        <v>-1514601</v>
      </c>
      <c r="N220" s="2">
        <f t="shared" si="8"/>
        <v>0.9576595658270705</v>
      </c>
      <c r="O220" s="4">
        <f t="shared" si="9"/>
        <v>0.15243752255237555</v>
      </c>
    </row>
    <row r="221" spans="1:15" ht="15.75" customHeight="1">
      <c r="A221" s="65" t="s">
        <v>21</v>
      </c>
      <c r="B221" s="66" t="s">
        <v>50</v>
      </c>
      <c r="C221" s="66">
        <v>2018</v>
      </c>
      <c r="D221" s="64" t="str">
        <f>CONCATENATE(Data!$C221,Data!$B221)</f>
        <v>2018-Q2</v>
      </c>
      <c r="E221" s="48">
        <v>173694597</v>
      </c>
      <c r="F221" s="48">
        <v>62447816</v>
      </c>
      <c r="G221" s="48">
        <v>85754076</v>
      </c>
      <c r="H221" s="48">
        <v>260984755</v>
      </c>
      <c r="I221" s="48">
        <v>271981197</v>
      </c>
      <c r="J221" s="48">
        <v>244057771</v>
      </c>
      <c r="K221" s="48">
        <v>35272997</v>
      </c>
      <c r="L221" s="59">
        <v>-7987001</v>
      </c>
      <c r="M221" s="48">
        <v>-7252370</v>
      </c>
      <c r="N221" s="2">
        <f t="shared" si="8"/>
        <v>0.9351418668113393</v>
      </c>
      <c r="O221" s="4">
        <f t="shared" si="9"/>
        <v>0.1351534766848738</v>
      </c>
    </row>
    <row r="222" spans="1:15" ht="15.75" customHeight="1">
      <c r="A222" s="65" t="s">
        <v>18</v>
      </c>
      <c r="B222" s="79" t="s">
        <v>51</v>
      </c>
      <c r="C222" s="1">
        <v>2018</v>
      </c>
      <c r="D222" s="76" t="str">
        <f>CONCATENATE(Data!$C222,Data!$B222)</f>
        <v>2018-Q3</v>
      </c>
      <c r="E222" s="48">
        <v>44537679</v>
      </c>
      <c r="F222" s="48">
        <v>20315670</v>
      </c>
      <c r="G222" s="48">
        <v>13175588</v>
      </c>
      <c r="H222" s="48">
        <v>173103559</v>
      </c>
      <c r="I222" s="48">
        <v>173103559</v>
      </c>
      <c r="J222" s="48">
        <v>137123326</v>
      </c>
      <c r="K222" s="48">
        <v>28763109</v>
      </c>
      <c r="L222" s="59">
        <v>7217123</v>
      </c>
      <c r="M222" s="48">
        <v>6272259</v>
      </c>
      <c r="N222" s="77">
        <f aca="true" t="shared" si="10" ref="N222:N231">_xlfn.IFERROR(SUM(J222/H222),"N/A")</f>
        <v>0.792146197294534</v>
      </c>
      <c r="O222" s="78">
        <f aca="true" t="shared" si="11" ref="O222:O231">_xlfn.IFERROR(SUM(K222/H222),"N/A")</f>
        <v>0.16616128036974676</v>
      </c>
    </row>
    <row r="223" spans="1:15" ht="15.75" customHeight="1">
      <c r="A223" s="65" t="s">
        <v>11</v>
      </c>
      <c r="B223" s="79" t="s">
        <v>51</v>
      </c>
      <c r="C223" s="1">
        <v>2018</v>
      </c>
      <c r="D223" s="76" t="str">
        <f>CONCATENATE(Data!$C223,Data!$B223)</f>
        <v>2018-Q3</v>
      </c>
      <c r="E223" s="48">
        <v>160394150</v>
      </c>
      <c r="F223" s="48">
        <v>70920682</v>
      </c>
      <c r="G223" s="48">
        <v>60854297</v>
      </c>
      <c r="H223" s="48">
        <v>375743912</v>
      </c>
      <c r="I223" s="48">
        <v>375743912</v>
      </c>
      <c r="J223" s="48">
        <v>336059404</v>
      </c>
      <c r="K223" s="48">
        <v>59819894</v>
      </c>
      <c r="L223" s="59">
        <v>-3896376</v>
      </c>
      <c r="M223" s="48">
        <v>-138751</v>
      </c>
      <c r="N223" s="77">
        <f t="shared" si="10"/>
        <v>0.8943841623706733</v>
      </c>
      <c r="O223" s="78">
        <f t="shared" si="11"/>
        <v>0.15920389416715286</v>
      </c>
    </row>
    <row r="224" spans="1:15" ht="15.75" customHeight="1">
      <c r="A224" s="65" t="s">
        <v>12</v>
      </c>
      <c r="B224" s="79" t="s">
        <v>51</v>
      </c>
      <c r="C224" s="1">
        <v>2018</v>
      </c>
      <c r="D224" s="76" t="str">
        <f>CONCATENATE(Data!$C224,Data!$B224)</f>
        <v>2018-Q3</v>
      </c>
      <c r="E224" s="48">
        <v>1252193560</v>
      </c>
      <c r="F224" s="48">
        <v>397875786</v>
      </c>
      <c r="G224" s="48">
        <v>91862216</v>
      </c>
      <c r="H224" s="48">
        <v>2823635380</v>
      </c>
      <c r="I224" s="48">
        <v>3010919999</v>
      </c>
      <c r="J224" s="48">
        <v>2751549182</v>
      </c>
      <c r="K224" s="48">
        <v>247088527</v>
      </c>
      <c r="L224" s="59">
        <v>12282290</v>
      </c>
      <c r="M224" s="48">
        <v>16978101</v>
      </c>
      <c r="N224" s="77">
        <f t="shared" si="10"/>
        <v>0.9744704296770782</v>
      </c>
      <c r="O224" s="78">
        <f t="shared" si="11"/>
        <v>0.08750723579614589</v>
      </c>
    </row>
    <row r="225" spans="1:15" ht="15.75" customHeight="1">
      <c r="A225" s="65" t="s">
        <v>13</v>
      </c>
      <c r="B225" s="79" t="s">
        <v>51</v>
      </c>
      <c r="C225" s="1">
        <v>2018</v>
      </c>
      <c r="D225" s="76" t="str">
        <f>CONCATENATE(Data!$C225,Data!$B225)</f>
        <v>2018-Q3</v>
      </c>
      <c r="E225" s="48">
        <v>12386427</v>
      </c>
      <c r="F225" s="48">
        <v>10394564</v>
      </c>
      <c r="G225" s="48">
        <v>26</v>
      </c>
      <c r="H225" s="48">
        <v>42080</v>
      </c>
      <c r="I225" s="48">
        <v>42080</v>
      </c>
      <c r="J225" s="48">
        <v>-123001</v>
      </c>
      <c r="K225" s="48">
        <v>-721184</v>
      </c>
      <c r="L225" s="59">
        <v>886265</v>
      </c>
      <c r="M225" s="48">
        <v>1013566</v>
      </c>
      <c r="N225" s="77">
        <f t="shared" si="10"/>
        <v>-2.923027566539924</v>
      </c>
      <c r="O225" s="78">
        <f t="shared" si="11"/>
        <v>-17.138403041825097</v>
      </c>
    </row>
    <row r="226" spans="1:15" ht="15.75" customHeight="1">
      <c r="A226" s="65" t="s">
        <v>14</v>
      </c>
      <c r="B226" s="79" t="s">
        <v>51</v>
      </c>
      <c r="C226" s="1">
        <v>2018</v>
      </c>
      <c r="D226" s="76" t="str">
        <f>CONCATENATE(Data!$C226,Data!$B226)</f>
        <v>2018-Q3</v>
      </c>
      <c r="E226" s="48">
        <v>276716161</v>
      </c>
      <c r="F226" s="48">
        <v>85698589</v>
      </c>
      <c r="G226" s="48">
        <v>72753449</v>
      </c>
      <c r="H226" s="48">
        <v>506344067</v>
      </c>
      <c r="I226" s="48">
        <v>506344067</v>
      </c>
      <c r="J226" s="48">
        <v>439013940</v>
      </c>
      <c r="K226" s="48">
        <v>72281070</v>
      </c>
      <c r="L226" s="59">
        <v>-4950943</v>
      </c>
      <c r="M226" s="48">
        <v>-7850764</v>
      </c>
      <c r="N226" s="77">
        <f t="shared" si="10"/>
        <v>0.8670269261790323</v>
      </c>
      <c r="O226" s="78">
        <f t="shared" si="11"/>
        <v>0.14275089748410147</v>
      </c>
    </row>
    <row r="227" spans="1:15" ht="15.75" customHeight="1">
      <c r="A227" s="65" t="s">
        <v>15</v>
      </c>
      <c r="B227" s="79" t="s">
        <v>51</v>
      </c>
      <c r="C227" s="1">
        <v>2018</v>
      </c>
      <c r="D227" s="76" t="str">
        <f>CONCATENATE(Data!$C227,Data!$B227)</f>
        <v>2018-Q3</v>
      </c>
      <c r="E227" s="48">
        <v>328269980</v>
      </c>
      <c r="F227" s="48">
        <v>211440934</v>
      </c>
      <c r="G227" s="48">
        <v>81779810</v>
      </c>
      <c r="H227" s="48">
        <v>594872735</v>
      </c>
      <c r="I227" s="48">
        <v>594735223</v>
      </c>
      <c r="J227" s="48">
        <v>476397559</v>
      </c>
      <c r="K227" s="48">
        <v>97908239</v>
      </c>
      <c r="L227" s="59">
        <v>20429425</v>
      </c>
      <c r="M227" s="48">
        <v>10500962</v>
      </c>
      <c r="N227" s="77">
        <f t="shared" si="10"/>
        <v>0.8008394585440195</v>
      </c>
      <c r="O227" s="78">
        <f t="shared" si="11"/>
        <v>0.1645868657940761</v>
      </c>
    </row>
    <row r="228" spans="1:15" ht="15.75" customHeight="1">
      <c r="A228" s="65" t="s">
        <v>16</v>
      </c>
      <c r="B228" s="79" t="s">
        <v>51</v>
      </c>
      <c r="C228" s="1">
        <v>2018</v>
      </c>
      <c r="D228" s="76" t="str">
        <f>CONCATENATE(Data!$C228,Data!$B228)</f>
        <v>2018-Q3</v>
      </c>
      <c r="E228" s="48">
        <v>905164049</v>
      </c>
      <c r="F228" s="48">
        <v>546169202</v>
      </c>
      <c r="G228" s="48">
        <v>179319666</v>
      </c>
      <c r="H228" s="48">
        <v>1049274265</v>
      </c>
      <c r="I228" s="48">
        <v>1049274265</v>
      </c>
      <c r="J228" s="48">
        <v>916284141</v>
      </c>
      <c r="K228" s="48">
        <v>107571565</v>
      </c>
      <c r="L228" s="59">
        <v>25418559</v>
      </c>
      <c r="M228" s="48">
        <v>29397622</v>
      </c>
      <c r="N228" s="77">
        <f t="shared" si="10"/>
        <v>0.8732551360153677</v>
      </c>
      <c r="O228" s="78">
        <f t="shared" si="11"/>
        <v>0.10251996888535143</v>
      </c>
    </row>
    <row r="229" spans="1:15" ht="15.75" customHeight="1">
      <c r="A229" s="65" t="s">
        <v>17</v>
      </c>
      <c r="B229" s="79" t="s">
        <v>51</v>
      </c>
      <c r="C229" s="1">
        <v>2018</v>
      </c>
      <c r="D229" s="76" t="str">
        <f>CONCATENATE(Data!$C229,Data!$B229)</f>
        <v>2018-Q3</v>
      </c>
      <c r="E229" s="48">
        <v>1303016318</v>
      </c>
      <c r="F229" s="48">
        <v>828868917</v>
      </c>
      <c r="G229" s="48">
        <v>188200749</v>
      </c>
      <c r="H229" s="48">
        <v>1479052677</v>
      </c>
      <c r="I229" s="48">
        <v>1472593377</v>
      </c>
      <c r="J229" s="48">
        <v>1193537353</v>
      </c>
      <c r="K229" s="48">
        <v>203725413</v>
      </c>
      <c r="L229" s="59">
        <v>75330611</v>
      </c>
      <c r="M229" s="48">
        <v>74259894</v>
      </c>
      <c r="N229" s="77">
        <f t="shared" si="10"/>
        <v>0.8069606793321804</v>
      </c>
      <c r="O229" s="78">
        <f t="shared" si="11"/>
        <v>0.13774047143014637</v>
      </c>
    </row>
    <row r="230" spans="1:15" ht="15.75" customHeight="1">
      <c r="A230" s="65" t="s">
        <v>20</v>
      </c>
      <c r="B230" s="79" t="s">
        <v>51</v>
      </c>
      <c r="C230" s="1">
        <v>2018</v>
      </c>
      <c r="D230" s="76" t="str">
        <f>CONCATENATE(Data!$C230,Data!$B230)</f>
        <v>2018-Q3</v>
      </c>
      <c r="E230" s="48">
        <v>27900830</v>
      </c>
      <c r="F230" s="48">
        <v>13100247</v>
      </c>
      <c r="G230" s="48">
        <v>10856790</v>
      </c>
      <c r="H230" s="48">
        <v>63820696</v>
      </c>
      <c r="I230" s="48">
        <v>67807428</v>
      </c>
      <c r="J230" s="48">
        <v>61128150</v>
      </c>
      <c r="K230" s="48">
        <v>9535048</v>
      </c>
      <c r="L230" s="59">
        <v>-2855771</v>
      </c>
      <c r="M230" s="48">
        <v>-2021128</v>
      </c>
      <c r="N230" s="77">
        <f t="shared" si="10"/>
        <v>0.9578107703494804</v>
      </c>
      <c r="O230" s="78">
        <f t="shared" si="11"/>
        <v>0.1494036981357897</v>
      </c>
    </row>
    <row r="231" spans="1:15" ht="15.75" customHeight="1">
      <c r="A231" s="65" t="s">
        <v>21</v>
      </c>
      <c r="B231" s="79" t="s">
        <v>51</v>
      </c>
      <c r="C231" s="1">
        <v>2018</v>
      </c>
      <c r="D231" s="76" t="str">
        <f>CONCATENATE(Data!$C231,Data!$B231)</f>
        <v>2018-Q3</v>
      </c>
      <c r="E231" s="48">
        <v>176456032</v>
      </c>
      <c r="F231" s="48">
        <v>63953641</v>
      </c>
      <c r="G231" s="48">
        <v>88850821</v>
      </c>
      <c r="H231" s="48">
        <v>388282717</v>
      </c>
      <c r="I231" s="48">
        <v>403732067</v>
      </c>
      <c r="J231" s="48">
        <v>367789156</v>
      </c>
      <c r="K231" s="48">
        <v>42091237</v>
      </c>
      <c r="L231" s="59">
        <v>-6148326</v>
      </c>
      <c r="M231" s="48">
        <v>-6766886</v>
      </c>
      <c r="N231" s="77">
        <f t="shared" si="10"/>
        <v>0.9472200020687503</v>
      </c>
      <c r="O231" s="78">
        <f t="shared" si="11"/>
        <v>0.10840358109475164</v>
      </c>
    </row>
    <row r="232" spans="1:15" ht="15.75" customHeight="1">
      <c r="A232" s="65" t="s">
        <v>18</v>
      </c>
      <c r="B232" s="79" t="s">
        <v>52</v>
      </c>
      <c r="C232" s="1">
        <v>2018</v>
      </c>
      <c r="D232" s="76" t="str">
        <f>CONCATENATE(Data!$C232,Data!$B232)</f>
        <v>2018-Q4</v>
      </c>
      <c r="E232" s="48">
        <v>64802975</v>
      </c>
      <c r="F232" s="48">
        <v>20602245</v>
      </c>
      <c r="G232" s="48">
        <v>11690829</v>
      </c>
      <c r="H232" s="48">
        <v>203870780</v>
      </c>
      <c r="I232" s="48">
        <v>203870780</v>
      </c>
      <c r="J232" s="48">
        <v>160433900</v>
      </c>
      <c r="K232" s="48">
        <v>35843704</v>
      </c>
      <c r="L232" s="59">
        <v>6393176</v>
      </c>
      <c r="M232" s="48">
        <v>5155537</v>
      </c>
      <c r="N232" s="77">
        <f aca="true" t="shared" si="12" ref="N232:N241">_xlfn.IFERROR(SUM(J232/H232),"N/A")</f>
        <v>0.7869391582256172</v>
      </c>
      <c r="O232" s="78">
        <f aca="true" t="shared" si="13" ref="O232:O241">_xlfn.IFERROR(SUM(K232/H232),"N/A")</f>
        <v>0.17581579861518162</v>
      </c>
    </row>
    <row r="233" spans="1:15" ht="15.75" customHeight="1">
      <c r="A233" s="65" t="s">
        <v>11</v>
      </c>
      <c r="B233" s="79" t="s">
        <v>52</v>
      </c>
      <c r="C233" s="1">
        <v>2018</v>
      </c>
      <c r="D233" s="76" t="str">
        <f>CONCATENATE(Data!$C233,Data!$B233)</f>
        <v>2018-Q4</v>
      </c>
      <c r="E233" s="48">
        <v>155551443</v>
      </c>
      <c r="F233" s="48">
        <v>73730318</v>
      </c>
      <c r="G233" s="48">
        <v>50245472</v>
      </c>
      <c r="H233" s="48">
        <v>498952615</v>
      </c>
      <c r="I233" s="48">
        <v>498952615</v>
      </c>
      <c r="J233" s="48">
        <v>451434830</v>
      </c>
      <c r="K233" s="48">
        <v>68976734</v>
      </c>
      <c r="L233" s="59">
        <v>-4746594</v>
      </c>
      <c r="M233" s="48">
        <v>-136638</v>
      </c>
      <c r="N233" s="77">
        <f t="shared" si="12"/>
        <v>0.9047649344417205</v>
      </c>
      <c r="O233" s="78">
        <f t="shared" si="13"/>
        <v>0.1382430554051711</v>
      </c>
    </row>
    <row r="234" spans="1:15" ht="15.75" customHeight="1">
      <c r="A234" s="65" t="s">
        <v>12</v>
      </c>
      <c r="B234" s="79" t="s">
        <v>52</v>
      </c>
      <c r="C234" s="1">
        <v>2018</v>
      </c>
      <c r="D234" s="76" t="str">
        <f>CONCATENATE(Data!$C234,Data!$B234)</f>
        <v>2018-Q4</v>
      </c>
      <c r="E234" s="48">
        <v>1254529077</v>
      </c>
      <c r="F234" s="48">
        <v>463083695</v>
      </c>
      <c r="G234" s="48">
        <v>109724931</v>
      </c>
      <c r="H234" s="48">
        <v>3777445468</v>
      </c>
      <c r="I234" s="48">
        <v>4027080925</v>
      </c>
      <c r="J234" s="48">
        <v>3718514500</v>
      </c>
      <c r="K234" s="48">
        <v>324474406</v>
      </c>
      <c r="L234" s="59">
        <v>-15907981</v>
      </c>
      <c r="M234" s="48">
        <v>-6991477</v>
      </c>
      <c r="N234" s="77">
        <f t="shared" si="12"/>
        <v>0.9843992538081029</v>
      </c>
      <c r="O234" s="78">
        <f t="shared" si="13"/>
        <v>0.08589783988908135</v>
      </c>
    </row>
    <row r="235" spans="1:15" ht="15.75" customHeight="1">
      <c r="A235" s="65" t="s">
        <v>13</v>
      </c>
      <c r="B235" s="79" t="s">
        <v>52</v>
      </c>
      <c r="C235" s="1">
        <v>2018</v>
      </c>
      <c r="D235" s="76" t="str">
        <f>CONCATENATE(Data!$C235,Data!$B235)</f>
        <v>2018-Q4</v>
      </c>
      <c r="E235" s="48">
        <v>12275263</v>
      </c>
      <c r="F235" s="48">
        <v>10315983</v>
      </c>
      <c r="G235" s="48">
        <v>0</v>
      </c>
      <c r="H235" s="48">
        <v>49861</v>
      </c>
      <c r="I235" s="48">
        <v>49861</v>
      </c>
      <c r="J235" s="48">
        <v>-188562</v>
      </c>
      <c r="K235" s="48">
        <v>-296329</v>
      </c>
      <c r="L235" s="59">
        <v>534752</v>
      </c>
      <c r="M235" s="48">
        <v>958262</v>
      </c>
      <c r="N235" s="77">
        <f t="shared" si="12"/>
        <v>-3.7817532741020035</v>
      </c>
      <c r="O235" s="78">
        <f t="shared" si="13"/>
        <v>-5.94310182306813</v>
      </c>
    </row>
    <row r="236" spans="1:15" ht="15.75" customHeight="1">
      <c r="A236" s="65" t="s">
        <v>14</v>
      </c>
      <c r="B236" s="79" t="s">
        <v>52</v>
      </c>
      <c r="C236" s="1">
        <v>2018</v>
      </c>
      <c r="D236" s="76" t="str">
        <f>CONCATENATE(Data!$C236,Data!$B236)</f>
        <v>2018-Q4</v>
      </c>
      <c r="E236" s="48">
        <v>316994497</v>
      </c>
      <c r="F236" s="48">
        <v>130757252</v>
      </c>
      <c r="G236" s="48">
        <v>65952699</v>
      </c>
      <c r="H236" s="48">
        <v>686361897</v>
      </c>
      <c r="I236" s="48">
        <v>437417109</v>
      </c>
      <c r="J236" s="48">
        <v>612784569</v>
      </c>
      <c r="K236" s="48">
        <v>73635577</v>
      </c>
      <c r="L236" s="59">
        <v>-249003037</v>
      </c>
      <c r="M236" s="48">
        <v>-227092210</v>
      </c>
      <c r="N236" s="77">
        <f t="shared" si="12"/>
        <v>0.8928009723127157</v>
      </c>
      <c r="O236" s="78">
        <f t="shared" si="13"/>
        <v>0.10728389399506541</v>
      </c>
    </row>
    <row r="237" spans="1:15" ht="15.75" customHeight="1">
      <c r="A237" s="65" t="s">
        <v>15</v>
      </c>
      <c r="B237" s="79" t="s">
        <v>52</v>
      </c>
      <c r="C237" s="1">
        <v>2018</v>
      </c>
      <c r="D237" s="76" t="str">
        <f>CONCATENATE(Data!$C237,Data!$B237)</f>
        <v>2018-Q4</v>
      </c>
      <c r="E237" s="48">
        <v>319877838</v>
      </c>
      <c r="F237" s="48">
        <v>208999829</v>
      </c>
      <c r="G237" s="48">
        <v>81996615</v>
      </c>
      <c r="H237" s="48">
        <v>801487925</v>
      </c>
      <c r="I237" s="48">
        <v>800742738</v>
      </c>
      <c r="J237" s="48">
        <v>646982724</v>
      </c>
      <c r="K237" s="48">
        <v>131049350</v>
      </c>
      <c r="L237" s="59">
        <v>22710664</v>
      </c>
      <c r="M237" s="48">
        <v>13947770</v>
      </c>
      <c r="N237" s="77">
        <f t="shared" si="12"/>
        <v>0.8072270383861366</v>
      </c>
      <c r="O237" s="78">
        <f t="shared" si="13"/>
        <v>0.16350757873239324</v>
      </c>
    </row>
    <row r="238" spans="1:15" ht="15.75" customHeight="1">
      <c r="A238" s="65" t="s">
        <v>16</v>
      </c>
      <c r="B238" s="79" t="s">
        <v>52</v>
      </c>
      <c r="C238" s="1">
        <v>2018</v>
      </c>
      <c r="D238" s="76" t="str">
        <f>CONCATENATE(Data!$C238,Data!$B238)</f>
        <v>2018-Q4</v>
      </c>
      <c r="E238" s="48">
        <v>863933481</v>
      </c>
      <c r="F238" s="48">
        <v>555462903</v>
      </c>
      <c r="G238" s="48">
        <v>133392969</v>
      </c>
      <c r="H238" s="48">
        <v>1377586926</v>
      </c>
      <c r="I238" s="48">
        <v>1377586926</v>
      </c>
      <c r="J238" s="48">
        <v>1200747404</v>
      </c>
      <c r="K238" s="48">
        <v>146197746</v>
      </c>
      <c r="L238" s="59">
        <v>30641776</v>
      </c>
      <c r="M238" s="48">
        <v>39076913</v>
      </c>
      <c r="N238" s="77">
        <f t="shared" si="12"/>
        <v>0.8716309521654099</v>
      </c>
      <c r="O238" s="78">
        <f t="shared" si="13"/>
        <v>0.10612596798120309</v>
      </c>
    </row>
    <row r="239" spans="1:15" ht="15.75" customHeight="1">
      <c r="A239" s="65" t="s">
        <v>17</v>
      </c>
      <c r="B239" s="79" t="s">
        <v>52</v>
      </c>
      <c r="C239" s="1">
        <v>2018</v>
      </c>
      <c r="D239" s="76" t="str">
        <f>CONCATENATE(Data!$C239,Data!$B239)</f>
        <v>2018-Q4</v>
      </c>
      <c r="E239" s="48">
        <v>1255584792</v>
      </c>
      <c r="F239" s="48">
        <v>776568709</v>
      </c>
      <c r="G239" s="48">
        <v>179395166</v>
      </c>
      <c r="H239" s="48">
        <v>1963110423</v>
      </c>
      <c r="I239" s="48">
        <v>1965484605</v>
      </c>
      <c r="J239" s="48">
        <v>1621167179</v>
      </c>
      <c r="K239" s="48">
        <v>272360473</v>
      </c>
      <c r="L239" s="59">
        <v>71956953</v>
      </c>
      <c r="M239" s="48">
        <v>62224117</v>
      </c>
      <c r="N239" s="77">
        <f t="shared" si="12"/>
        <v>0.8258155832734836</v>
      </c>
      <c r="O239" s="78">
        <f t="shared" si="13"/>
        <v>0.13873925267218654</v>
      </c>
    </row>
    <row r="240" spans="1:15" ht="15.75" customHeight="1">
      <c r="A240" s="65" t="s">
        <v>20</v>
      </c>
      <c r="B240" s="79" t="s">
        <v>52</v>
      </c>
      <c r="C240" s="1">
        <v>2018</v>
      </c>
      <c r="D240" s="76" t="str">
        <f>CONCATENATE(Data!$C240,Data!$B240)</f>
        <v>2018-Q4</v>
      </c>
      <c r="E240" s="48">
        <v>25473999</v>
      </c>
      <c r="F240" s="48">
        <v>11530681</v>
      </c>
      <c r="G240" s="48">
        <v>11378061</v>
      </c>
      <c r="H240" s="48">
        <v>83741396</v>
      </c>
      <c r="I240" s="48">
        <v>89061540</v>
      </c>
      <c r="J240" s="48">
        <v>80543927</v>
      </c>
      <c r="K240" s="48">
        <v>13445912</v>
      </c>
      <c r="L240" s="59">
        <v>-4928299</v>
      </c>
      <c r="M240" s="48">
        <v>-3062532</v>
      </c>
      <c r="N240" s="77">
        <f t="shared" si="12"/>
        <v>0.9618173430020202</v>
      </c>
      <c r="O240" s="78">
        <f t="shared" si="13"/>
        <v>0.16056469849153218</v>
      </c>
    </row>
    <row r="241" spans="1:15" ht="15.75" customHeight="1">
      <c r="A241" s="65" t="s">
        <v>21</v>
      </c>
      <c r="B241" s="79" t="s">
        <v>52</v>
      </c>
      <c r="C241" s="1">
        <v>2018</v>
      </c>
      <c r="D241" s="76" t="str">
        <f>CONCATENATE(Data!$C241,Data!$B241)</f>
        <v>2018-Q4</v>
      </c>
      <c r="E241" s="48">
        <v>153215038</v>
      </c>
      <c r="F241" s="48">
        <v>57118293</v>
      </c>
      <c r="G241" s="48">
        <v>75568898</v>
      </c>
      <c r="H241" s="48">
        <v>516147781</v>
      </c>
      <c r="I241" s="48">
        <v>536050042</v>
      </c>
      <c r="J241" s="48">
        <v>490123649</v>
      </c>
      <c r="K241" s="48">
        <v>60543353</v>
      </c>
      <c r="L241" s="59">
        <v>-14616960</v>
      </c>
      <c r="M241" s="48">
        <v>-13622863</v>
      </c>
      <c r="N241" s="77">
        <f t="shared" si="12"/>
        <v>0.9495800757884106</v>
      </c>
      <c r="O241" s="78">
        <f t="shared" si="13"/>
        <v>0.11729848548937188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9:O48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18</v>
      </c>
    </row>
    <row r="13" spans="2:13" ht="60.75" customHeight="1">
      <c r="B13" s="32" t="s">
        <v>42</v>
      </c>
      <c r="C13" s="32" t="s">
        <v>25</v>
      </c>
      <c r="D13" s="32" t="s">
        <v>26</v>
      </c>
      <c r="E13" s="32" t="s">
        <v>74</v>
      </c>
      <c r="F13" s="32" t="s">
        <v>28</v>
      </c>
      <c r="G13" s="32" t="s">
        <v>39</v>
      </c>
      <c r="H13" s="32" t="s">
        <v>30</v>
      </c>
      <c r="I13" s="32" t="s">
        <v>34</v>
      </c>
      <c r="J13" s="32" t="s">
        <v>33</v>
      </c>
      <c r="K13" s="32" t="s">
        <v>40</v>
      </c>
      <c r="L13" s="32" t="s">
        <v>31</v>
      </c>
      <c r="M13" s="32" t="s">
        <v>38</v>
      </c>
    </row>
    <row r="14" spans="2:15" ht="60.75" hidden="1">
      <c r="B14" s="32" t="s">
        <v>42</v>
      </c>
      <c r="C14" s="32" t="s">
        <v>25</v>
      </c>
      <c r="D14" s="32" t="s">
        <v>26</v>
      </c>
      <c r="E14" s="32" t="s">
        <v>27</v>
      </c>
      <c r="F14" s="32" t="s">
        <v>28</v>
      </c>
      <c r="G14" s="32" t="s">
        <v>39</v>
      </c>
      <c r="H14" s="32" t="s">
        <v>30</v>
      </c>
      <c r="I14" s="32" t="s">
        <v>34</v>
      </c>
      <c r="J14" s="32" t="s">
        <v>33</v>
      </c>
      <c r="K14" s="32" t="s">
        <v>40</v>
      </c>
      <c r="L14" s="32" t="s">
        <v>31</v>
      </c>
      <c r="M14" s="32" t="s">
        <v>38</v>
      </c>
      <c r="O14" s="14" t="s">
        <v>41</v>
      </c>
    </row>
    <row r="15" spans="2:15" ht="23.25">
      <c r="B15" s="33" t="s">
        <v>85</v>
      </c>
      <c r="C15" s="34">
        <v>64802975</v>
      </c>
      <c r="D15" s="34">
        <v>20602245</v>
      </c>
      <c r="E15" s="34">
        <v>11690829</v>
      </c>
      <c r="F15" s="34">
        <v>203870780</v>
      </c>
      <c r="G15" s="34">
        <v>203870780</v>
      </c>
      <c r="H15" s="34">
        <v>160433900</v>
      </c>
      <c r="I15" s="34">
        <v>35843704</v>
      </c>
      <c r="J15" s="34">
        <v>6393176</v>
      </c>
      <c r="K15" s="34">
        <v>5155537</v>
      </c>
      <c r="L15" s="35">
        <v>0.7869391582256172</v>
      </c>
      <c r="M15" s="35">
        <v>0.17581579861518162</v>
      </c>
      <c r="O15" s="15">
        <v>1</v>
      </c>
    </row>
    <row r="16" spans="2:15" ht="23.25">
      <c r="B16" s="53" t="s">
        <v>86</v>
      </c>
      <c r="C16" s="54">
        <v>44537679</v>
      </c>
      <c r="D16" s="54">
        <v>20315670</v>
      </c>
      <c r="E16" s="54">
        <v>13175588</v>
      </c>
      <c r="F16" s="54">
        <v>173103559</v>
      </c>
      <c r="G16" s="54">
        <v>173103559</v>
      </c>
      <c r="H16" s="54">
        <v>137123326</v>
      </c>
      <c r="I16" s="54">
        <v>28763109</v>
      </c>
      <c r="J16" s="54">
        <v>7217123</v>
      </c>
      <c r="K16" s="54">
        <v>6272259</v>
      </c>
      <c r="L16" s="55">
        <v>0.792146197294534</v>
      </c>
      <c r="M16" s="55">
        <v>0.16616128036974676</v>
      </c>
      <c r="O16" s="15">
        <v>1</v>
      </c>
    </row>
    <row r="17" spans="2:15" ht="23.25">
      <c r="B17" s="33" t="s">
        <v>83</v>
      </c>
      <c r="C17" s="34">
        <v>68253512</v>
      </c>
      <c r="D17" s="34">
        <v>18572283</v>
      </c>
      <c r="E17" s="34">
        <v>13153120</v>
      </c>
      <c r="F17" s="34">
        <v>116338149</v>
      </c>
      <c r="G17" s="34">
        <v>116338149</v>
      </c>
      <c r="H17" s="34">
        <v>90424932</v>
      </c>
      <c r="I17" s="34">
        <v>21053724</v>
      </c>
      <c r="J17" s="34">
        <v>4859493</v>
      </c>
      <c r="K17" s="34">
        <v>4166640</v>
      </c>
      <c r="L17" s="35">
        <v>0.777259504102992</v>
      </c>
      <c r="M17" s="35">
        <v>0.18097007886897015</v>
      </c>
      <c r="O17" s="15">
        <v>1</v>
      </c>
    </row>
    <row r="18" spans="2:15" ht="23.25">
      <c r="B18" s="53" t="s">
        <v>82</v>
      </c>
      <c r="C18" s="54">
        <v>66473366</v>
      </c>
      <c r="D18" s="54">
        <v>13935259</v>
      </c>
      <c r="E18" s="54">
        <v>15656892</v>
      </c>
      <c r="F18" s="54">
        <v>55974337</v>
      </c>
      <c r="G18" s="54">
        <v>55974337</v>
      </c>
      <c r="H18" s="54">
        <v>45597833</v>
      </c>
      <c r="I18" s="54">
        <v>11779339</v>
      </c>
      <c r="J18" s="54">
        <v>-1402835</v>
      </c>
      <c r="K18" s="54">
        <v>-1300724</v>
      </c>
      <c r="L18" s="55">
        <v>0.8146203321711519</v>
      </c>
      <c r="M18" s="55">
        <v>0.21044177798836636</v>
      </c>
      <c r="O18" s="15">
        <v>1</v>
      </c>
    </row>
    <row r="19" spans="2:15" ht="23.25">
      <c r="B19" s="33" t="s">
        <v>80</v>
      </c>
      <c r="C19" s="34">
        <v>52548834</v>
      </c>
      <c r="D19" s="34">
        <v>16904456</v>
      </c>
      <c r="E19" s="34">
        <v>21903287</v>
      </c>
      <c r="F19" s="34">
        <v>258988089</v>
      </c>
      <c r="G19" s="34">
        <v>259000468</v>
      </c>
      <c r="H19" s="34">
        <v>235263649</v>
      </c>
      <c r="I19" s="34">
        <v>35612851</v>
      </c>
      <c r="J19" s="34">
        <v>-11876032</v>
      </c>
      <c r="K19" s="34">
        <v>-9067026</v>
      </c>
      <c r="L19" s="35">
        <v>0.9083956328200097</v>
      </c>
      <c r="M19" s="35">
        <v>0.13750767897283492</v>
      </c>
      <c r="O19" s="15">
        <v>1</v>
      </c>
    </row>
    <row r="20" spans="2:15" ht="23.25">
      <c r="B20" s="53" t="s">
        <v>79</v>
      </c>
      <c r="C20" s="54">
        <v>82884386</v>
      </c>
      <c r="D20" s="54">
        <v>19624076</v>
      </c>
      <c r="E20" s="54">
        <v>22157044</v>
      </c>
      <c r="F20" s="54">
        <v>200508503</v>
      </c>
      <c r="G20" s="54">
        <v>200520882</v>
      </c>
      <c r="H20" s="54">
        <v>179464325</v>
      </c>
      <c r="I20" s="54">
        <v>27189619</v>
      </c>
      <c r="J20" s="54">
        <v>-6133063</v>
      </c>
      <c r="K20" s="54">
        <v>-5480328</v>
      </c>
      <c r="L20" s="55">
        <v>0.8950459572280584</v>
      </c>
      <c r="M20" s="55">
        <v>0.1356033215209831</v>
      </c>
      <c r="O20" s="15">
        <v>1</v>
      </c>
    </row>
    <row r="21" spans="2:15" ht="23.25">
      <c r="B21" s="33" t="s">
        <v>77</v>
      </c>
      <c r="C21" s="34">
        <v>79569380</v>
      </c>
      <c r="D21" s="34">
        <v>22023794</v>
      </c>
      <c r="E21" s="34">
        <v>21360863</v>
      </c>
      <c r="F21" s="34">
        <v>132643172</v>
      </c>
      <c r="G21" s="34">
        <v>132656672</v>
      </c>
      <c r="H21" s="34">
        <v>120689100</v>
      </c>
      <c r="I21" s="34">
        <v>18346884</v>
      </c>
      <c r="J21" s="34">
        <v>-6379311</v>
      </c>
      <c r="K21" s="34">
        <v>-5964245</v>
      </c>
      <c r="L21" s="35">
        <v>0.9098779694442168</v>
      </c>
      <c r="M21" s="35">
        <v>0.13831759089717788</v>
      </c>
      <c r="O21" s="15">
        <v>1</v>
      </c>
    </row>
    <row r="22" spans="2:15" ht="23.25">
      <c r="B22" s="53" t="s">
        <v>76</v>
      </c>
      <c r="C22" s="54">
        <v>80889558</v>
      </c>
      <c r="D22" s="54">
        <v>23495977</v>
      </c>
      <c r="E22" s="54">
        <v>19658571</v>
      </c>
      <c r="F22" s="54">
        <v>66460154</v>
      </c>
      <c r="G22" s="54">
        <v>66460154</v>
      </c>
      <c r="H22" s="54">
        <v>60248541</v>
      </c>
      <c r="I22" s="54">
        <v>9121750</v>
      </c>
      <c r="J22" s="54">
        <v>-2910136</v>
      </c>
      <c r="K22" s="54">
        <v>-2764735</v>
      </c>
      <c r="L22" s="55">
        <v>0.9065362833796623</v>
      </c>
      <c r="M22" s="55">
        <v>0.13725141232745264</v>
      </c>
      <c r="O22" s="15">
        <v>1</v>
      </c>
    </row>
    <row r="23" spans="2:15" ht="23.25">
      <c r="B23" s="33" t="s">
        <v>75</v>
      </c>
      <c r="C23" s="34">
        <v>50750554</v>
      </c>
      <c r="D23" s="34">
        <v>25571979</v>
      </c>
      <c r="E23" s="34">
        <v>11170488</v>
      </c>
      <c r="F23" s="34">
        <v>203293456</v>
      </c>
      <c r="G23" s="34">
        <v>203293456</v>
      </c>
      <c r="H23" s="34">
        <v>175017733</v>
      </c>
      <c r="I23" s="34">
        <v>29380263</v>
      </c>
      <c r="J23" s="34">
        <v>-2904540</v>
      </c>
      <c r="K23" s="34">
        <v>-3459058</v>
      </c>
      <c r="L23" s="35">
        <v>0.860911789506889</v>
      </c>
      <c r="M23" s="35">
        <v>0.14452143998181624</v>
      </c>
      <c r="O23" s="15">
        <v>1</v>
      </c>
    </row>
    <row r="24" spans="2:15" ht="23.25">
      <c r="B24" s="53" t="s">
        <v>73</v>
      </c>
      <c r="C24" s="54">
        <v>72121937</v>
      </c>
      <c r="D24" s="54">
        <v>30342104</v>
      </c>
      <c r="E24" s="54">
        <v>12157905</v>
      </c>
      <c r="F24" s="54">
        <v>156832112</v>
      </c>
      <c r="G24" s="54">
        <v>156832112</v>
      </c>
      <c r="H24" s="54">
        <v>132549969</v>
      </c>
      <c r="I24" s="54">
        <v>22859103</v>
      </c>
      <c r="J24" s="54">
        <v>1423040</v>
      </c>
      <c r="K24" s="54">
        <v>-286758</v>
      </c>
      <c r="L24" s="55">
        <v>0.8451711024589148</v>
      </c>
      <c r="M24" s="55">
        <v>0.1457552455838891</v>
      </c>
      <c r="O24" s="15">
        <v>1</v>
      </c>
    </row>
    <row r="25" spans="2:15" ht="23.25">
      <c r="B25" s="33" t="s">
        <v>44</v>
      </c>
      <c r="C25" s="34">
        <v>56818416</v>
      </c>
      <c r="D25" s="34">
        <v>28218210</v>
      </c>
      <c r="E25" s="34">
        <v>13785983</v>
      </c>
      <c r="F25" s="34">
        <v>102652836</v>
      </c>
      <c r="G25" s="34">
        <v>102652836</v>
      </c>
      <c r="H25" s="34">
        <v>86673735</v>
      </c>
      <c r="I25" s="34">
        <v>16276067</v>
      </c>
      <c r="J25" s="34">
        <v>-296965</v>
      </c>
      <c r="K25" s="34">
        <v>-1137087</v>
      </c>
      <c r="L25" s="35">
        <v>0.8443384360077495</v>
      </c>
      <c r="M25" s="35">
        <v>0.15855447968334746</v>
      </c>
      <c r="O25" s="15">
        <v>1</v>
      </c>
    </row>
    <row r="26" spans="2:15" ht="23.25">
      <c r="B26" s="53" t="s">
        <v>43</v>
      </c>
      <c r="C26" s="54">
        <v>51122028</v>
      </c>
      <c r="D26" s="54">
        <v>26559331</v>
      </c>
      <c r="E26" s="54">
        <v>13074952</v>
      </c>
      <c r="F26" s="54">
        <v>50027962</v>
      </c>
      <c r="G26" s="54">
        <v>50027962</v>
      </c>
      <c r="H26" s="54">
        <v>41888467</v>
      </c>
      <c r="I26" s="54">
        <v>9048144</v>
      </c>
      <c r="J26" s="54">
        <v>-908649</v>
      </c>
      <c r="K26" s="54">
        <v>-1620612</v>
      </c>
      <c r="L26" s="55">
        <v>0.8373010877396925</v>
      </c>
      <c r="M26" s="55">
        <v>0.1808617348833838</v>
      </c>
      <c r="O26" s="15">
        <v>1</v>
      </c>
    </row>
    <row r="27" spans="2:15" ht="23.25">
      <c r="B27" s="33" t="s">
        <v>45</v>
      </c>
      <c r="C27" s="34">
        <v>44255367</v>
      </c>
      <c r="D27" s="34">
        <v>28135474</v>
      </c>
      <c r="E27" s="34">
        <v>11977942</v>
      </c>
      <c r="F27" s="34">
        <v>176129313</v>
      </c>
      <c r="G27" s="34">
        <v>176129313</v>
      </c>
      <c r="H27" s="34">
        <v>147796757</v>
      </c>
      <c r="I27" s="34">
        <v>23844036</v>
      </c>
      <c r="J27" s="34">
        <v>4488520</v>
      </c>
      <c r="K27" s="34">
        <v>1287969</v>
      </c>
      <c r="L27" s="35">
        <v>0.8391377589714439</v>
      </c>
      <c r="M27" s="35">
        <v>0.13537801058702817</v>
      </c>
      <c r="O27" s="15"/>
    </row>
    <row r="28" spans="2:15" s="50" customFormat="1" ht="23.25">
      <c r="B28" s="53" t="s">
        <v>46</v>
      </c>
      <c r="C28" s="54">
        <v>41259836</v>
      </c>
      <c r="D28" s="54">
        <v>24956636</v>
      </c>
      <c r="E28" s="54">
        <v>12382554</v>
      </c>
      <c r="F28" s="54">
        <v>132284384</v>
      </c>
      <c r="G28" s="54">
        <v>132284384</v>
      </c>
      <c r="H28" s="54">
        <v>110984918</v>
      </c>
      <c r="I28" s="54">
        <v>18430915</v>
      </c>
      <c r="J28" s="54">
        <v>2868550</v>
      </c>
      <c r="K28" s="54">
        <v>393766</v>
      </c>
      <c r="L28" s="55">
        <v>0.8389872987578035</v>
      </c>
      <c r="M28" s="55">
        <v>0.13932797237805483</v>
      </c>
      <c r="O28" s="15">
        <v>1</v>
      </c>
    </row>
    <row r="29" spans="2:15" s="50" customFormat="1" ht="23.25">
      <c r="B29" s="33" t="s">
        <v>47</v>
      </c>
      <c r="C29" s="34">
        <v>44365471</v>
      </c>
      <c r="D29" s="34">
        <v>22737530</v>
      </c>
      <c r="E29" s="34">
        <v>12118829</v>
      </c>
      <c r="F29" s="34">
        <v>87929529</v>
      </c>
      <c r="G29" s="34">
        <v>87929529</v>
      </c>
      <c r="H29" s="34">
        <v>73654351</v>
      </c>
      <c r="I29" s="34">
        <v>12969774</v>
      </c>
      <c r="J29" s="34">
        <v>1305404</v>
      </c>
      <c r="K29" s="34">
        <v>22628</v>
      </c>
      <c r="L29" s="35">
        <v>0.8376520588436224</v>
      </c>
      <c r="M29" s="35">
        <v>0.1475019159945688</v>
      </c>
      <c r="O29" s="15"/>
    </row>
    <row r="30" spans="2:15" s="50" customFormat="1" ht="23.25">
      <c r="B30" s="53" t="s">
        <v>48</v>
      </c>
      <c r="C30" s="54">
        <v>43771964</v>
      </c>
      <c r="D30" s="54">
        <v>21800203</v>
      </c>
      <c r="E30" s="54">
        <v>12932604</v>
      </c>
      <c r="F30" s="54">
        <v>43603465</v>
      </c>
      <c r="G30" s="54">
        <v>43603465</v>
      </c>
      <c r="H30" s="54">
        <v>36605736</v>
      </c>
      <c r="I30" s="54">
        <v>7726545</v>
      </c>
      <c r="J30" s="54">
        <v>-728816</v>
      </c>
      <c r="K30" s="54">
        <v>-1378521</v>
      </c>
      <c r="L30" s="55">
        <v>0.8395143826299125</v>
      </c>
      <c r="M30" s="55">
        <v>0.1772002523193971</v>
      </c>
      <c r="O30" s="15"/>
    </row>
    <row r="31" spans="1:15" s="50" customFormat="1" ht="23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18</v>
      </c>
      <c r="O33" s="15">
        <v>1</v>
      </c>
    </row>
    <row r="34" spans="2:15" ht="60.75" customHeight="1">
      <c r="B34" s="32" t="s">
        <v>23</v>
      </c>
      <c r="C34" s="32" t="s">
        <v>25</v>
      </c>
      <c r="D34" s="32" t="s">
        <v>26</v>
      </c>
      <c r="E34" s="32" t="s">
        <v>74</v>
      </c>
      <c r="F34" s="32" t="s">
        <v>28</v>
      </c>
      <c r="G34" s="32" t="s">
        <v>39</v>
      </c>
      <c r="H34" s="32" t="s">
        <v>30</v>
      </c>
      <c r="I34" s="32" t="s">
        <v>34</v>
      </c>
      <c r="J34" s="32" t="s">
        <v>33</v>
      </c>
      <c r="K34" s="32" t="s">
        <v>40</v>
      </c>
      <c r="L34" s="32" t="s">
        <v>31</v>
      </c>
      <c r="M34" s="32" t="s">
        <v>38</v>
      </c>
      <c r="O34" s="15">
        <v>1</v>
      </c>
    </row>
    <row r="35" spans="2:15" ht="51" hidden="1">
      <c r="B35" s="32" t="s">
        <v>23</v>
      </c>
      <c r="C35" s="32" t="s">
        <v>25</v>
      </c>
      <c r="D35" s="32" t="s">
        <v>26</v>
      </c>
      <c r="E35" s="32" t="s">
        <v>27</v>
      </c>
      <c r="F35" s="32" t="s">
        <v>28</v>
      </c>
      <c r="G35" s="32" t="s">
        <v>39</v>
      </c>
      <c r="H35" s="32" t="s">
        <v>30</v>
      </c>
      <c r="I35" s="32" t="s">
        <v>34</v>
      </c>
      <c r="J35" s="32" t="s">
        <v>33</v>
      </c>
      <c r="K35" s="32" t="s">
        <v>40</v>
      </c>
      <c r="L35" s="32" t="s">
        <v>31</v>
      </c>
      <c r="M35" s="32" t="s">
        <v>38</v>
      </c>
      <c r="O35" s="15">
        <v>1</v>
      </c>
    </row>
    <row r="36" spans="2:15" ht="23.25">
      <c r="B36" s="33" t="s">
        <v>53</v>
      </c>
      <c r="C36" s="34">
        <v>40332291</v>
      </c>
      <c r="D36" s="34">
        <v>23351536</v>
      </c>
      <c r="E36" s="34">
        <v>11501853</v>
      </c>
      <c r="F36" s="34">
        <v>159839987</v>
      </c>
      <c r="G36" s="34">
        <v>159839987</v>
      </c>
      <c r="H36" s="34">
        <v>134590609</v>
      </c>
      <c r="I36" s="34">
        <v>20626452</v>
      </c>
      <c r="J36" s="34">
        <v>4622926</v>
      </c>
      <c r="K36" s="34">
        <v>2540047</v>
      </c>
      <c r="L36" s="35">
        <v>0.8420334080732877</v>
      </c>
      <c r="M36" s="35">
        <v>0.1290443798647206</v>
      </c>
      <c r="O36" s="15">
        <v>1</v>
      </c>
    </row>
    <row r="37" spans="2:15" ht="23.25">
      <c r="B37" s="7" t="s">
        <v>54</v>
      </c>
      <c r="C37" s="17">
        <v>38551303</v>
      </c>
      <c r="D37" s="17">
        <v>21117128</v>
      </c>
      <c r="E37" s="17">
        <v>9218709</v>
      </c>
      <c r="F37" s="17">
        <v>148081886</v>
      </c>
      <c r="G37" s="17">
        <v>148081886</v>
      </c>
      <c r="H37" s="17">
        <v>125886997</v>
      </c>
      <c r="I37" s="17">
        <v>18575659</v>
      </c>
      <c r="J37" s="17">
        <v>3619230</v>
      </c>
      <c r="K37" s="17">
        <v>2001076</v>
      </c>
      <c r="L37" s="8">
        <v>0.8501174613618846</v>
      </c>
      <c r="M37" s="8">
        <v>0.12544180454319714</v>
      </c>
      <c r="O37" s="15">
        <v>1</v>
      </c>
    </row>
    <row r="38" spans="2:15" ht="23.25">
      <c r="B38" s="33" t="s">
        <v>55</v>
      </c>
      <c r="C38" s="34">
        <v>33404828</v>
      </c>
      <c r="D38" s="34">
        <v>19405091</v>
      </c>
      <c r="E38" s="34">
        <v>8580441</v>
      </c>
      <c r="F38" s="34">
        <v>135500367</v>
      </c>
      <c r="G38" s="34">
        <v>135500367</v>
      </c>
      <c r="H38" s="34">
        <v>114334384</v>
      </c>
      <c r="I38" s="34">
        <v>17179553</v>
      </c>
      <c r="J38" s="34">
        <v>3986430</v>
      </c>
      <c r="K38" s="34">
        <v>2715749</v>
      </c>
      <c r="L38" s="35">
        <v>0.8437939064770208</v>
      </c>
      <c r="M38" s="35">
        <v>0.12678602560537713</v>
      </c>
      <c r="O38" s="15">
        <v>1</v>
      </c>
    </row>
    <row r="39" spans="2:15" ht="23.25">
      <c r="B39" s="7" t="s">
        <v>56</v>
      </c>
      <c r="C39" s="17">
        <v>28449748</v>
      </c>
      <c r="D39" s="17">
        <v>17020405</v>
      </c>
      <c r="E39" s="17">
        <v>9717780</v>
      </c>
      <c r="F39" s="17">
        <v>77937045</v>
      </c>
      <c r="G39" s="17">
        <v>77937045</v>
      </c>
      <c r="H39" s="17">
        <v>66118950</v>
      </c>
      <c r="I39" s="17">
        <v>9964511</v>
      </c>
      <c r="J39" s="17">
        <v>1853584</v>
      </c>
      <c r="K39" s="17">
        <v>1237681</v>
      </c>
      <c r="L39" s="8">
        <v>0.8483635734457214</v>
      </c>
      <c r="M39" s="8">
        <v>0.12785333341801708</v>
      </c>
      <c r="O39" s="15">
        <v>1</v>
      </c>
    </row>
    <row r="40" spans="2:15" ht="23.25">
      <c r="B40" s="33" t="s">
        <v>57</v>
      </c>
      <c r="C40" s="34">
        <v>14765585</v>
      </c>
      <c r="D40" s="34">
        <v>5874603</v>
      </c>
      <c r="E40" s="34">
        <v>5539396</v>
      </c>
      <c r="F40" s="34">
        <v>50030946</v>
      </c>
      <c r="G40" s="34">
        <v>50030946</v>
      </c>
      <c r="H40" s="34">
        <v>42360248</v>
      </c>
      <c r="I40" s="34">
        <v>7085178</v>
      </c>
      <c r="J40" s="34">
        <v>585520</v>
      </c>
      <c r="K40" s="34">
        <v>432285</v>
      </c>
      <c r="L40" s="35">
        <v>0.8466809322374196</v>
      </c>
      <c r="M40" s="35">
        <v>0.14161591108031418</v>
      </c>
      <c r="O40" s="15">
        <v>1</v>
      </c>
    </row>
    <row r="41" spans="2:15" ht="23.25">
      <c r="B41" s="7" t="s">
        <v>58</v>
      </c>
      <c r="C41" s="17">
        <v>13776104</v>
      </c>
      <c r="D41" s="17">
        <v>5591876</v>
      </c>
      <c r="E41" s="17">
        <v>4583831</v>
      </c>
      <c r="F41" s="17">
        <v>44982875</v>
      </c>
      <c r="G41" s="17">
        <v>44982875</v>
      </c>
      <c r="H41" s="17">
        <v>37929279</v>
      </c>
      <c r="I41" s="17">
        <v>7142486</v>
      </c>
      <c r="J41" s="17">
        <v>-88890</v>
      </c>
      <c r="K41" s="17">
        <v>71177</v>
      </c>
      <c r="L41" s="8">
        <v>0.8431937487321564</v>
      </c>
      <c r="M41" s="8">
        <v>0.15878233661143268</v>
      </c>
      <c r="O41" s="15">
        <v>1</v>
      </c>
    </row>
    <row r="42" ht="23.25" customHeight="1">
      <c r="O42" s="15">
        <v>1</v>
      </c>
    </row>
    <row r="43" ht="23.25" customHeight="1">
      <c r="O43" s="15">
        <v>1</v>
      </c>
    </row>
    <row r="44" ht="23.25" customHeight="1">
      <c r="O44" s="15">
        <v>1</v>
      </c>
    </row>
    <row r="45" ht="23.25" customHeight="1">
      <c r="O45" s="15">
        <v>1</v>
      </c>
    </row>
    <row r="46" ht="23.25" customHeight="1">
      <c r="O46" s="15">
        <v>1</v>
      </c>
    </row>
    <row r="47" ht="23.25" customHeight="1">
      <c r="O47" s="15">
        <v>1</v>
      </c>
    </row>
    <row r="48" ht="23.25" customHeight="1">
      <c r="O48" s="15">
        <v>1</v>
      </c>
    </row>
  </sheetData>
  <sheetProtection sheet="1" objects="1" scenarios="1"/>
  <mergeCells count="3">
    <mergeCell ref="B9:M10"/>
    <mergeCell ref="B32:M32"/>
    <mergeCell ref="B11:M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11</v>
      </c>
    </row>
    <row r="13" spans="2:13" ht="60.75" customHeight="1">
      <c r="B13" s="12" t="s">
        <v>42</v>
      </c>
      <c r="C13" s="12" t="s">
        <v>25</v>
      </c>
      <c r="D13" s="12" t="s">
        <v>26</v>
      </c>
      <c r="E13" s="12" t="s">
        <v>74</v>
      </c>
      <c r="F13" s="12" t="s">
        <v>28</v>
      </c>
      <c r="G13" s="12" t="s">
        <v>39</v>
      </c>
      <c r="H13" s="12" t="s">
        <v>30</v>
      </c>
      <c r="I13" s="12" t="s">
        <v>34</v>
      </c>
      <c r="J13" s="12" t="s">
        <v>33</v>
      </c>
      <c r="K13" s="12" t="s">
        <v>40</v>
      </c>
      <c r="L13" s="12" t="s">
        <v>31</v>
      </c>
      <c r="M13" s="12" t="s">
        <v>38</v>
      </c>
    </row>
    <row r="14" spans="2:15" ht="60.75" hidden="1">
      <c r="B14" s="12" t="s">
        <v>42</v>
      </c>
      <c r="C14" s="12" t="s">
        <v>25</v>
      </c>
      <c r="D14" s="12" t="s">
        <v>26</v>
      </c>
      <c r="E14" s="12" t="s">
        <v>27</v>
      </c>
      <c r="F14" s="12" t="s">
        <v>28</v>
      </c>
      <c r="G14" s="12" t="s">
        <v>39</v>
      </c>
      <c r="H14" s="12" t="s">
        <v>30</v>
      </c>
      <c r="I14" s="12" t="s">
        <v>34</v>
      </c>
      <c r="J14" s="12" t="s">
        <v>33</v>
      </c>
      <c r="K14" s="12" t="s">
        <v>40</v>
      </c>
      <c r="L14" s="12" t="s">
        <v>31</v>
      </c>
      <c r="M14" s="12" t="s">
        <v>38</v>
      </c>
      <c r="O14" s="14" t="s">
        <v>41</v>
      </c>
    </row>
    <row r="15" spans="2:15" ht="23.25" customHeight="1">
      <c r="B15" s="7" t="s">
        <v>85</v>
      </c>
      <c r="C15" s="17">
        <v>155551443</v>
      </c>
      <c r="D15" s="17">
        <v>73730318</v>
      </c>
      <c r="E15" s="17">
        <v>50245472</v>
      </c>
      <c r="F15" s="17">
        <v>498952615</v>
      </c>
      <c r="G15" s="17">
        <v>498952615</v>
      </c>
      <c r="H15" s="17">
        <v>451434830</v>
      </c>
      <c r="I15" s="17">
        <v>68976734</v>
      </c>
      <c r="J15" s="17">
        <v>-4746594</v>
      </c>
      <c r="K15" s="17">
        <v>-136638</v>
      </c>
      <c r="L15" s="8">
        <v>0.9047649344417205</v>
      </c>
      <c r="M15" s="8">
        <v>0.1382430554051711</v>
      </c>
      <c r="O15" s="15">
        <v>1</v>
      </c>
    </row>
    <row r="16" spans="2:15" ht="23.25" customHeight="1">
      <c r="B16" s="7" t="s">
        <v>86</v>
      </c>
      <c r="C16" s="17">
        <v>160394150</v>
      </c>
      <c r="D16" s="17">
        <v>70920682</v>
      </c>
      <c r="E16" s="17">
        <v>60854297</v>
      </c>
      <c r="F16" s="17">
        <v>375743912</v>
      </c>
      <c r="G16" s="17">
        <v>375743912</v>
      </c>
      <c r="H16" s="17">
        <v>336059404</v>
      </c>
      <c r="I16" s="17">
        <v>59819894</v>
      </c>
      <c r="J16" s="17">
        <v>-3896376</v>
      </c>
      <c r="K16" s="17">
        <v>-138751</v>
      </c>
      <c r="L16" s="8">
        <v>0.8943841623706733</v>
      </c>
      <c r="M16" s="8">
        <v>0.15920389416715286</v>
      </c>
      <c r="O16" s="15">
        <v>1</v>
      </c>
    </row>
    <row r="17" spans="2:15" ht="23.25" customHeight="1">
      <c r="B17" s="7" t="s">
        <v>83</v>
      </c>
      <c r="C17" s="17">
        <v>188911155</v>
      </c>
      <c r="D17" s="17">
        <v>65879903</v>
      </c>
      <c r="E17" s="17">
        <v>61887430</v>
      </c>
      <c r="F17" s="17">
        <v>249510733</v>
      </c>
      <c r="G17" s="17">
        <v>249510733</v>
      </c>
      <c r="H17" s="17">
        <v>225630876</v>
      </c>
      <c r="I17" s="17">
        <v>43578837</v>
      </c>
      <c r="J17" s="17">
        <v>-5421138</v>
      </c>
      <c r="K17" s="17">
        <v>-1950954</v>
      </c>
      <c r="L17" s="8">
        <v>0.9042932674162758</v>
      </c>
      <c r="M17" s="8">
        <v>0.1746571639465305</v>
      </c>
      <c r="O17" s="15">
        <v>1</v>
      </c>
    </row>
    <row r="18" spans="2:15" ht="23.25" customHeight="1">
      <c r="B18" s="7" t="s">
        <v>82</v>
      </c>
      <c r="C18" s="17">
        <v>188112090</v>
      </c>
      <c r="D18" s="17">
        <v>67192399</v>
      </c>
      <c r="E18" s="17">
        <v>48336025</v>
      </c>
      <c r="F18" s="17">
        <v>122182117</v>
      </c>
      <c r="G18" s="17">
        <v>122182117</v>
      </c>
      <c r="H18" s="17">
        <v>105996946</v>
      </c>
      <c r="I18" s="17">
        <v>25263505</v>
      </c>
      <c r="J18" s="17">
        <v>2089373</v>
      </c>
      <c r="K18" s="17">
        <v>2476456</v>
      </c>
      <c r="L18" s="8">
        <v>0.8675324065632289</v>
      </c>
      <c r="M18" s="8">
        <v>0.206769252492163</v>
      </c>
      <c r="O18" s="15">
        <v>1</v>
      </c>
    </row>
    <row r="19" spans="2:15" ht="23.25" customHeight="1">
      <c r="B19" s="7" t="s">
        <v>80</v>
      </c>
      <c r="C19" s="17">
        <v>182947422</v>
      </c>
      <c r="D19" s="17">
        <v>73059383</v>
      </c>
      <c r="E19" s="17">
        <v>48577679</v>
      </c>
      <c r="F19" s="17">
        <v>526473594</v>
      </c>
      <c r="G19" s="17">
        <v>526473594</v>
      </c>
      <c r="H19" s="17">
        <v>494651986</v>
      </c>
      <c r="I19" s="17">
        <v>70756158</v>
      </c>
      <c r="J19" s="17">
        <v>-39822354</v>
      </c>
      <c r="K19" s="17">
        <v>-23493133</v>
      </c>
      <c r="L19" s="8">
        <v>0.9395570673198854</v>
      </c>
      <c r="M19" s="8">
        <v>0.13439640431424943</v>
      </c>
      <c r="O19" s="15">
        <v>1</v>
      </c>
    </row>
    <row r="20" spans="2:15" ht="23.25" customHeight="1">
      <c r="B20" s="7" t="s">
        <v>79</v>
      </c>
      <c r="C20" s="17">
        <v>210237497</v>
      </c>
      <c r="D20" s="17">
        <v>101492074</v>
      </c>
      <c r="E20" s="17">
        <v>49605490</v>
      </c>
      <c r="F20" s="17">
        <v>400442415</v>
      </c>
      <c r="G20" s="17">
        <v>400442415</v>
      </c>
      <c r="H20" s="17">
        <v>368569724</v>
      </c>
      <c r="I20" s="17">
        <v>49725010</v>
      </c>
      <c r="J20" s="17">
        <v>-2629145</v>
      </c>
      <c r="K20" s="17">
        <v>5673212</v>
      </c>
      <c r="L20" s="8">
        <v>0.9204063061102057</v>
      </c>
      <c r="M20" s="8">
        <v>0.12417518259148447</v>
      </c>
      <c r="O20" s="15">
        <v>1</v>
      </c>
    </row>
    <row r="21" spans="2:15" ht="23.25" customHeight="1">
      <c r="B21" s="7" t="s">
        <v>77</v>
      </c>
      <c r="C21" s="17">
        <v>208972175</v>
      </c>
      <c r="D21" s="17">
        <v>99222531</v>
      </c>
      <c r="E21" s="17">
        <v>49858490</v>
      </c>
      <c r="F21" s="17">
        <v>267004556</v>
      </c>
      <c r="G21" s="17">
        <v>267004556</v>
      </c>
      <c r="H21" s="17">
        <v>248922181</v>
      </c>
      <c r="I21" s="17">
        <v>31984009</v>
      </c>
      <c r="J21" s="17">
        <v>-2212971</v>
      </c>
      <c r="K21" s="17">
        <v>4177037</v>
      </c>
      <c r="L21" s="8">
        <v>0.9322769046682484</v>
      </c>
      <c r="M21" s="8">
        <v>0.11978825185290097</v>
      </c>
      <c r="O21" s="15">
        <v>1</v>
      </c>
    </row>
    <row r="22" spans="2:15" ht="23.25" customHeight="1">
      <c r="B22" s="7" t="s">
        <v>76</v>
      </c>
      <c r="C22" s="17">
        <v>210269492</v>
      </c>
      <c r="D22" s="17">
        <v>98695854</v>
      </c>
      <c r="E22" s="17">
        <v>53327953</v>
      </c>
      <c r="F22" s="17">
        <v>132212761</v>
      </c>
      <c r="G22" s="17">
        <v>132212761</v>
      </c>
      <c r="H22" s="17">
        <v>121099594</v>
      </c>
      <c r="I22" s="17">
        <v>22626538</v>
      </c>
      <c r="J22" s="17">
        <v>-2323498</v>
      </c>
      <c r="K22" s="17">
        <v>2626642</v>
      </c>
      <c r="L22" s="8">
        <v>0.9159448232081017</v>
      </c>
      <c r="M22" s="8">
        <v>0.17113732312117738</v>
      </c>
      <c r="O22" s="15">
        <v>1</v>
      </c>
    </row>
    <row r="23" spans="2:15" ht="23.25" customHeight="1">
      <c r="B23" s="7" t="s">
        <v>75</v>
      </c>
      <c r="C23" s="17">
        <v>181638258</v>
      </c>
      <c r="D23" s="17">
        <v>99661246</v>
      </c>
      <c r="E23" s="17">
        <v>47514977</v>
      </c>
      <c r="F23" s="17">
        <v>506176430</v>
      </c>
      <c r="G23" s="17">
        <v>506176430</v>
      </c>
      <c r="H23" s="17">
        <v>481524281</v>
      </c>
      <c r="I23" s="17">
        <v>80790303</v>
      </c>
      <c r="J23" s="17">
        <v>-50952567</v>
      </c>
      <c r="K23" s="17">
        <v>-31842735</v>
      </c>
      <c r="L23" s="8">
        <v>0.9512973193951366</v>
      </c>
      <c r="M23" s="8">
        <v>0.15960897863221327</v>
      </c>
      <c r="O23" s="15">
        <v>1</v>
      </c>
    </row>
    <row r="24" spans="2:15" ht="23.25" customHeight="1">
      <c r="B24" s="7" t="s">
        <v>73</v>
      </c>
      <c r="C24" s="17">
        <v>194368973</v>
      </c>
      <c r="D24" s="17">
        <v>85622192</v>
      </c>
      <c r="E24" s="17">
        <v>48773080</v>
      </c>
      <c r="F24" s="17">
        <v>374895382</v>
      </c>
      <c r="G24" s="17">
        <v>374895382</v>
      </c>
      <c r="H24" s="17">
        <v>362682949</v>
      </c>
      <c r="I24" s="17">
        <v>61004263</v>
      </c>
      <c r="J24" s="17">
        <v>-41862179</v>
      </c>
      <c r="K24" s="17">
        <v>-27558682</v>
      </c>
      <c r="L24" s="8">
        <v>0.9674244240223797</v>
      </c>
      <c r="M24" s="8">
        <v>0.16272343146654178</v>
      </c>
      <c r="O24" s="15">
        <v>1</v>
      </c>
    </row>
    <row r="25" spans="2:15" s="50" customFormat="1" ht="23.25" customHeight="1">
      <c r="B25" s="7" t="s">
        <v>44</v>
      </c>
      <c r="C25" s="17">
        <v>166165011</v>
      </c>
      <c r="D25" s="17">
        <v>70165011</v>
      </c>
      <c r="E25" s="17">
        <v>49503573</v>
      </c>
      <c r="F25" s="17">
        <v>245420608</v>
      </c>
      <c r="G25" s="17">
        <v>245420608</v>
      </c>
      <c r="H25" s="17">
        <v>245038326</v>
      </c>
      <c r="I25" s="17">
        <v>42752545</v>
      </c>
      <c r="J25" s="17">
        <v>-42319337</v>
      </c>
      <c r="K25" s="17">
        <v>-29059416</v>
      </c>
      <c r="L25" s="8">
        <v>0.9984423394468976</v>
      </c>
      <c r="M25" s="8">
        <v>0.17420112087734702</v>
      </c>
      <c r="O25" s="15">
        <v>1</v>
      </c>
    </row>
    <row r="26" spans="2:15" s="50" customFormat="1" ht="23.25" customHeight="1">
      <c r="B26" s="7" t="s">
        <v>43</v>
      </c>
      <c r="C26" s="17">
        <v>134059339</v>
      </c>
      <c r="D26" s="17">
        <v>46668710</v>
      </c>
      <c r="E26" s="17">
        <v>50589370</v>
      </c>
      <c r="F26" s="17">
        <v>121331384</v>
      </c>
      <c r="G26" s="17">
        <v>121331384</v>
      </c>
      <c r="H26" s="17">
        <v>133949657</v>
      </c>
      <c r="I26" s="17">
        <v>25041555</v>
      </c>
      <c r="J26" s="17">
        <v>-30797966</v>
      </c>
      <c r="K26" s="17">
        <v>-19757208</v>
      </c>
      <c r="L26" s="8">
        <v>1.1039984263263658</v>
      </c>
      <c r="M26" s="8">
        <v>0.20638975815193866</v>
      </c>
      <c r="O26" s="15">
        <v>1</v>
      </c>
    </row>
    <row r="27" spans="2:15" s="50" customFormat="1" ht="23.25" customHeight="1">
      <c r="B27" s="7" t="s">
        <v>45</v>
      </c>
      <c r="C27" s="17">
        <v>152052291</v>
      </c>
      <c r="D27" s="17">
        <v>68083502</v>
      </c>
      <c r="E27" s="17">
        <v>46585885</v>
      </c>
      <c r="F27" s="17">
        <v>418841165</v>
      </c>
      <c r="G27" s="17">
        <v>418841165</v>
      </c>
      <c r="H27" s="17">
        <v>396743095</v>
      </c>
      <c r="I27" s="17">
        <v>68106365</v>
      </c>
      <c r="J27" s="17">
        <v>-40879656</v>
      </c>
      <c r="K27" s="17">
        <v>-25390633</v>
      </c>
      <c r="L27" s="8">
        <v>0.9472399758032379</v>
      </c>
      <c r="M27" s="8">
        <v>0.1626066649871915</v>
      </c>
      <c r="O27" s="15"/>
    </row>
    <row r="28" spans="2:15" s="50" customFormat="1" ht="23.25" customHeight="1">
      <c r="B28" s="7" t="s">
        <v>46</v>
      </c>
      <c r="C28" s="17">
        <v>141966268</v>
      </c>
      <c r="D28" s="17">
        <v>66647698</v>
      </c>
      <c r="E28" s="17">
        <v>44956875</v>
      </c>
      <c r="F28" s="17">
        <v>312539234</v>
      </c>
      <c r="G28" s="17">
        <v>312539234</v>
      </c>
      <c r="H28" s="17">
        <v>294954154</v>
      </c>
      <c r="I28" s="17">
        <v>51692771</v>
      </c>
      <c r="J28" s="17">
        <v>-19126479</v>
      </c>
      <c r="K28" s="17">
        <v>-8239560</v>
      </c>
      <c r="L28" s="8">
        <v>0.9437348080273339</v>
      </c>
      <c r="M28" s="8">
        <v>0.16539610191787954</v>
      </c>
      <c r="O28" s="15">
        <v>1</v>
      </c>
    </row>
    <row r="29" spans="2:15" s="50" customFormat="1" ht="23.25" customHeight="1">
      <c r="B29" s="7" t="s">
        <v>47</v>
      </c>
      <c r="C29" s="17">
        <v>137379556</v>
      </c>
      <c r="D29" s="17">
        <v>54488135</v>
      </c>
      <c r="E29" s="17">
        <v>42906051</v>
      </c>
      <c r="F29" s="17">
        <v>206708568</v>
      </c>
      <c r="G29" s="17">
        <v>206708568</v>
      </c>
      <c r="H29" s="17">
        <v>197928120</v>
      </c>
      <c r="I29" s="17">
        <v>36832753</v>
      </c>
      <c r="J29" s="17">
        <v>-15390369</v>
      </c>
      <c r="K29" s="17">
        <v>-7033583</v>
      </c>
      <c r="L29" s="8">
        <v>0.9575225735200295</v>
      </c>
      <c r="M29" s="8">
        <v>0.17818687128634164</v>
      </c>
      <c r="O29" s="15"/>
    </row>
    <row r="30" spans="2:15" s="50" customFormat="1" ht="23.25" customHeight="1">
      <c r="B30" s="7" t="s">
        <v>48</v>
      </c>
      <c r="C30" s="17">
        <v>129852874</v>
      </c>
      <c r="D30" s="17">
        <v>44659851</v>
      </c>
      <c r="E30" s="17">
        <v>41140374</v>
      </c>
      <c r="F30" s="17">
        <v>103757714</v>
      </c>
      <c r="G30" s="17">
        <v>103757714</v>
      </c>
      <c r="H30" s="17">
        <v>94176584</v>
      </c>
      <c r="I30" s="17">
        <v>21273394</v>
      </c>
      <c r="J30" s="17">
        <v>-6812037</v>
      </c>
      <c r="K30" s="17">
        <v>-4528474</v>
      </c>
      <c r="L30" s="8">
        <v>0.9076586247842738</v>
      </c>
      <c r="M30" s="8">
        <v>0.2050295171306492</v>
      </c>
      <c r="O30" s="15"/>
    </row>
    <row r="31" spans="2:15" s="50" customFormat="1" ht="23.25" customHeight="1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72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11</v>
      </c>
      <c r="O33" s="15">
        <v>1</v>
      </c>
    </row>
    <row r="34" spans="2:15" ht="60.75" customHeight="1">
      <c r="B34" s="12" t="s">
        <v>23</v>
      </c>
      <c r="C34" s="12" t="s">
        <v>25</v>
      </c>
      <c r="D34" s="12" t="s">
        <v>26</v>
      </c>
      <c r="E34" s="12" t="s">
        <v>74</v>
      </c>
      <c r="F34" s="12" t="s">
        <v>28</v>
      </c>
      <c r="G34" s="12" t="s">
        <v>39</v>
      </c>
      <c r="H34" s="12" t="s">
        <v>30</v>
      </c>
      <c r="I34" s="12" t="s">
        <v>34</v>
      </c>
      <c r="J34" s="12" t="s">
        <v>33</v>
      </c>
      <c r="K34" s="12" t="s">
        <v>40</v>
      </c>
      <c r="L34" s="12" t="s">
        <v>31</v>
      </c>
      <c r="M34" s="12" t="s">
        <v>38</v>
      </c>
      <c r="O34" s="15">
        <v>1</v>
      </c>
    </row>
    <row r="35" spans="2:15" ht="51" hidden="1">
      <c r="B35" s="12" t="s">
        <v>23</v>
      </c>
      <c r="C35" s="12" t="s">
        <v>25</v>
      </c>
      <c r="D35" s="12" t="s">
        <v>26</v>
      </c>
      <c r="E35" s="12" t="s">
        <v>27</v>
      </c>
      <c r="F35" s="12" t="s">
        <v>28</v>
      </c>
      <c r="G35" s="12" t="s">
        <v>39</v>
      </c>
      <c r="H35" s="12" t="s">
        <v>30</v>
      </c>
      <c r="I35" s="12" t="s">
        <v>34</v>
      </c>
      <c r="J35" s="12" t="s">
        <v>33</v>
      </c>
      <c r="K35" s="12" t="s">
        <v>40</v>
      </c>
      <c r="L35" s="12" t="s">
        <v>31</v>
      </c>
      <c r="M35" s="12" t="s">
        <v>38</v>
      </c>
      <c r="O35" s="15">
        <v>1</v>
      </c>
    </row>
    <row r="36" spans="2:15" ht="23.25">
      <c r="B36" s="7" t="s">
        <v>53</v>
      </c>
      <c r="C36" s="17">
        <v>131596286</v>
      </c>
      <c r="D36" s="17">
        <v>55747288</v>
      </c>
      <c r="E36" s="17">
        <v>32377303</v>
      </c>
      <c r="F36" s="17">
        <v>327373793</v>
      </c>
      <c r="G36" s="17">
        <v>327884445</v>
      </c>
      <c r="H36" s="17">
        <v>293709002</v>
      </c>
      <c r="I36" s="17">
        <v>57727425</v>
      </c>
      <c r="J36" s="17">
        <v>-52764637</v>
      </c>
      <c r="K36" s="17">
        <v>-43820219</v>
      </c>
      <c r="L36" s="8">
        <v>0.8971671168559299</v>
      </c>
      <c r="M36" s="8">
        <v>0.1763348998433726</v>
      </c>
      <c r="O36" s="15">
        <v>1</v>
      </c>
    </row>
    <row r="37" spans="2:15" ht="23.25">
      <c r="B37" s="7" t="s">
        <v>54</v>
      </c>
      <c r="C37" s="17">
        <v>94617882</v>
      </c>
      <c r="D37" s="17">
        <v>53295204</v>
      </c>
      <c r="E37" s="17">
        <v>28901994</v>
      </c>
      <c r="F37" s="17">
        <v>294056815</v>
      </c>
      <c r="G37" s="17">
        <v>294056815</v>
      </c>
      <c r="H37" s="17">
        <v>245401586</v>
      </c>
      <c r="I37" s="17">
        <v>48599990</v>
      </c>
      <c r="J37" s="17">
        <v>1982905</v>
      </c>
      <c r="K37" s="17">
        <v>4590737</v>
      </c>
      <c r="L37" s="8">
        <v>0.8345379990598075</v>
      </c>
      <c r="M37" s="8">
        <v>0.16527414948706426</v>
      </c>
      <c r="O37" s="15">
        <v>1</v>
      </c>
    </row>
    <row r="38" spans="2:15" ht="23.25">
      <c r="B38" s="7" t="s">
        <v>55</v>
      </c>
      <c r="C38" s="17">
        <v>121437370</v>
      </c>
      <c r="D38" s="17">
        <v>66726172</v>
      </c>
      <c r="E38" s="17">
        <v>38979056</v>
      </c>
      <c r="F38" s="17">
        <v>368785153</v>
      </c>
      <c r="G38" s="17">
        <v>368785153</v>
      </c>
      <c r="H38" s="17">
        <v>306602910</v>
      </c>
      <c r="I38" s="17">
        <v>51067285</v>
      </c>
      <c r="J38" s="17">
        <v>10274288</v>
      </c>
      <c r="K38" s="17">
        <v>10589254</v>
      </c>
      <c r="L38" s="8">
        <v>0.8313862624507554</v>
      </c>
      <c r="M38" s="8">
        <v>0.13847435175894948</v>
      </c>
      <c r="O38" s="15">
        <v>1</v>
      </c>
    </row>
    <row r="39" spans="2:15" ht="23.25">
      <c r="B39" s="7" t="s">
        <v>56</v>
      </c>
      <c r="C39" s="17">
        <v>113250581</v>
      </c>
      <c r="D39" s="17">
        <v>69990980</v>
      </c>
      <c r="E39" s="17">
        <v>30473915</v>
      </c>
      <c r="F39" s="17">
        <v>354470768</v>
      </c>
      <c r="G39" s="17">
        <v>354470768</v>
      </c>
      <c r="H39" s="17">
        <v>279139459</v>
      </c>
      <c r="I39" s="17">
        <v>47906072</v>
      </c>
      <c r="J39" s="17">
        <v>27376187</v>
      </c>
      <c r="K39" s="17">
        <v>21486203</v>
      </c>
      <c r="L39" s="8">
        <v>0.7874823094016035</v>
      </c>
      <c r="M39" s="8">
        <v>0.1351481598053806</v>
      </c>
      <c r="O39" s="15">
        <v>1</v>
      </c>
    </row>
    <row r="40" spans="2:15" ht="23.25">
      <c r="B40" s="7" t="s">
        <v>57</v>
      </c>
      <c r="C40" s="17">
        <v>109287281</v>
      </c>
      <c r="D40" s="17">
        <v>63307359</v>
      </c>
      <c r="E40" s="17">
        <v>28760927</v>
      </c>
      <c r="F40" s="17">
        <v>363730731</v>
      </c>
      <c r="G40" s="17">
        <v>363730731</v>
      </c>
      <c r="H40" s="17">
        <v>295109630</v>
      </c>
      <c r="I40" s="17">
        <v>48247856</v>
      </c>
      <c r="J40" s="17">
        <v>21764127</v>
      </c>
      <c r="K40" s="17">
        <v>16606808</v>
      </c>
      <c r="L40" s="8">
        <v>0.8113409312121059</v>
      </c>
      <c r="M40" s="8">
        <v>0.13264718069697554</v>
      </c>
      <c r="O40" s="15">
        <v>1</v>
      </c>
    </row>
    <row r="41" spans="2:15" ht="23.25">
      <c r="B41" s="7" t="s">
        <v>58</v>
      </c>
      <c r="C41" s="17">
        <v>120647157</v>
      </c>
      <c r="D41" s="17">
        <v>73677286</v>
      </c>
      <c r="E41" s="17">
        <v>32044694</v>
      </c>
      <c r="F41" s="17">
        <v>434200265</v>
      </c>
      <c r="G41" s="17">
        <v>434200265</v>
      </c>
      <c r="H41" s="17">
        <v>388310325</v>
      </c>
      <c r="I41" s="17">
        <v>51898143</v>
      </c>
      <c r="J41" s="17">
        <v>-6536533</v>
      </c>
      <c r="K41" s="17">
        <v>-3231055</v>
      </c>
      <c r="L41" s="8">
        <v>0.8943115799342038</v>
      </c>
      <c r="M41" s="8">
        <v>0.11952582064868154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/>
    </row>
    <row r="45" ht="23.25" customHeight="1">
      <c r="O45" s="15"/>
    </row>
    <row r="46" ht="23.25" customHeight="1">
      <c r="O46" s="15"/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12</v>
      </c>
    </row>
    <row r="13" spans="2:13" ht="60.75" customHeight="1">
      <c r="B13" s="13" t="s">
        <v>42</v>
      </c>
      <c r="C13" s="13" t="s">
        <v>25</v>
      </c>
      <c r="D13" s="13" t="s">
        <v>26</v>
      </c>
      <c r="E13" s="13" t="s">
        <v>74</v>
      </c>
      <c r="F13" s="13" t="s">
        <v>28</v>
      </c>
      <c r="G13" s="13" t="s">
        <v>39</v>
      </c>
      <c r="H13" s="13" t="s">
        <v>30</v>
      </c>
      <c r="I13" s="13" t="s">
        <v>34</v>
      </c>
      <c r="J13" s="13" t="s">
        <v>33</v>
      </c>
      <c r="K13" s="13" t="s">
        <v>40</v>
      </c>
      <c r="L13" s="13" t="s">
        <v>31</v>
      </c>
      <c r="M13" s="13" t="s">
        <v>38</v>
      </c>
    </row>
    <row r="14" spans="2:15" ht="60.75" hidden="1">
      <c r="B14" s="13" t="s">
        <v>42</v>
      </c>
      <c r="C14" s="13" t="s">
        <v>25</v>
      </c>
      <c r="D14" s="13" t="s">
        <v>26</v>
      </c>
      <c r="E14" s="13" t="s">
        <v>27</v>
      </c>
      <c r="F14" s="13" t="s">
        <v>28</v>
      </c>
      <c r="G14" s="13" t="s">
        <v>39</v>
      </c>
      <c r="H14" s="13" t="s">
        <v>30</v>
      </c>
      <c r="I14" s="13" t="s">
        <v>34</v>
      </c>
      <c r="J14" s="13" t="s">
        <v>33</v>
      </c>
      <c r="K14" s="13" t="s">
        <v>40</v>
      </c>
      <c r="L14" s="13" t="s">
        <v>31</v>
      </c>
      <c r="M14" s="13" t="s">
        <v>38</v>
      </c>
      <c r="O14" s="14" t="s">
        <v>41</v>
      </c>
    </row>
    <row r="15" spans="2:15" ht="23.25">
      <c r="B15" s="7" t="s">
        <v>85</v>
      </c>
      <c r="C15" s="17">
        <v>1254529077</v>
      </c>
      <c r="D15" s="17">
        <v>463083695</v>
      </c>
      <c r="E15" s="17">
        <v>109724931</v>
      </c>
      <c r="F15" s="17">
        <v>3777445468</v>
      </c>
      <c r="G15" s="17">
        <v>4027080925</v>
      </c>
      <c r="H15" s="17">
        <v>3718514500</v>
      </c>
      <c r="I15" s="17">
        <v>324474406</v>
      </c>
      <c r="J15" s="17">
        <v>-15907981</v>
      </c>
      <c r="K15" s="17">
        <v>-6991477</v>
      </c>
      <c r="L15" s="8">
        <v>0.9843992538081029</v>
      </c>
      <c r="M15" s="8">
        <v>0.08589783988908135</v>
      </c>
      <c r="O15" s="15">
        <v>1</v>
      </c>
    </row>
    <row r="16" spans="2:15" ht="23.25">
      <c r="B16" s="7" t="s">
        <v>86</v>
      </c>
      <c r="C16" s="17">
        <v>1252193560</v>
      </c>
      <c r="D16" s="17">
        <v>397875786</v>
      </c>
      <c r="E16" s="17">
        <v>91862216</v>
      </c>
      <c r="F16" s="17">
        <v>2823635380</v>
      </c>
      <c r="G16" s="17">
        <v>3010919999</v>
      </c>
      <c r="H16" s="17">
        <v>2751549182</v>
      </c>
      <c r="I16" s="17">
        <v>247088527</v>
      </c>
      <c r="J16" s="17">
        <v>12282290</v>
      </c>
      <c r="K16" s="17">
        <v>16978101</v>
      </c>
      <c r="L16" s="8">
        <v>0.9744704296770782</v>
      </c>
      <c r="M16" s="8">
        <v>0.08750723579614589</v>
      </c>
      <c r="O16" s="15">
        <v>1</v>
      </c>
    </row>
    <row r="17" spans="2:15" ht="23.25">
      <c r="B17" s="7" t="s">
        <v>83</v>
      </c>
      <c r="C17" s="17">
        <v>1328054989</v>
      </c>
      <c r="D17" s="17">
        <v>364270631</v>
      </c>
      <c r="E17" s="17">
        <v>86694889</v>
      </c>
      <c r="F17" s="17">
        <v>1881021893</v>
      </c>
      <c r="G17" s="17">
        <v>2001984018</v>
      </c>
      <c r="H17" s="17">
        <v>1834794494</v>
      </c>
      <c r="I17" s="17">
        <v>174380791</v>
      </c>
      <c r="J17" s="17">
        <v>-7191267</v>
      </c>
      <c r="K17" s="17">
        <v>-6742650</v>
      </c>
      <c r="L17" s="8">
        <v>0.9754243163399481</v>
      </c>
      <c r="M17" s="8">
        <v>0.09270534896427172</v>
      </c>
      <c r="O17" s="15">
        <v>1</v>
      </c>
    </row>
    <row r="18" spans="2:15" ht="23.25">
      <c r="B18" s="7" t="s">
        <v>82</v>
      </c>
      <c r="C18" s="17">
        <v>1306497927</v>
      </c>
      <c r="D18" s="17">
        <v>329461478</v>
      </c>
      <c r="E18" s="17">
        <v>102868448</v>
      </c>
      <c r="F18" s="17">
        <v>958298977</v>
      </c>
      <c r="G18" s="17">
        <v>1018173845</v>
      </c>
      <c r="H18" s="17">
        <v>916930162</v>
      </c>
      <c r="I18" s="17">
        <v>108430168</v>
      </c>
      <c r="J18" s="17">
        <v>-7186485</v>
      </c>
      <c r="K18" s="17">
        <v>-9153283</v>
      </c>
      <c r="L18" s="8">
        <v>0.9568309932569197</v>
      </c>
      <c r="M18" s="8">
        <v>0.11314857951684947</v>
      </c>
      <c r="O18" s="15">
        <v>1</v>
      </c>
    </row>
    <row r="19" spans="2:15" ht="23.25">
      <c r="B19" s="7" t="s">
        <v>80</v>
      </c>
      <c r="C19" s="17">
        <v>1191988786</v>
      </c>
      <c r="D19" s="17">
        <v>353163052</v>
      </c>
      <c r="E19" s="17">
        <v>92117163</v>
      </c>
      <c r="F19" s="17">
        <v>3537415229</v>
      </c>
      <c r="G19" s="17">
        <v>3765165184</v>
      </c>
      <c r="H19" s="17">
        <v>3548829209</v>
      </c>
      <c r="I19" s="17">
        <v>235400506</v>
      </c>
      <c r="J19" s="17">
        <v>-19064531</v>
      </c>
      <c r="K19" s="17">
        <v>-1569851</v>
      </c>
      <c r="L19" s="8">
        <v>1.0032266441062467</v>
      </c>
      <c r="M19" s="8">
        <v>0.06654590732526074</v>
      </c>
      <c r="O19" s="15">
        <v>1</v>
      </c>
    </row>
    <row r="20" spans="2:15" ht="23.25">
      <c r="B20" s="7" t="s">
        <v>79</v>
      </c>
      <c r="C20" s="17">
        <v>1440845024</v>
      </c>
      <c r="D20" s="17">
        <v>567396560</v>
      </c>
      <c r="E20" s="17">
        <v>73911512</v>
      </c>
      <c r="F20" s="17">
        <v>2644087238</v>
      </c>
      <c r="G20" s="17">
        <v>2816716164</v>
      </c>
      <c r="H20" s="17">
        <v>2603068296</v>
      </c>
      <c r="I20" s="17">
        <v>167242141</v>
      </c>
      <c r="J20" s="17">
        <v>46405727</v>
      </c>
      <c r="K20" s="17">
        <v>62249266</v>
      </c>
      <c r="L20" s="8">
        <v>0.9844865398499382</v>
      </c>
      <c r="M20" s="8">
        <v>0.0632513703014212</v>
      </c>
      <c r="O20" s="15">
        <v>1</v>
      </c>
    </row>
    <row r="21" spans="2:15" ht="23.25">
      <c r="B21" s="7" t="s">
        <v>77</v>
      </c>
      <c r="C21" s="17">
        <v>1458099777</v>
      </c>
      <c r="D21" s="17">
        <v>544886433</v>
      </c>
      <c r="E21" s="17">
        <v>60676397</v>
      </c>
      <c r="F21" s="17">
        <v>1769833092</v>
      </c>
      <c r="G21" s="17">
        <v>1881003490</v>
      </c>
      <c r="H21" s="17">
        <v>1729231699</v>
      </c>
      <c r="I21" s="17">
        <v>112674114</v>
      </c>
      <c r="J21" s="17">
        <v>39097677</v>
      </c>
      <c r="K21" s="17">
        <v>49497080</v>
      </c>
      <c r="L21" s="8">
        <v>0.9770591966081286</v>
      </c>
      <c r="M21" s="8">
        <v>0.0636636949039486</v>
      </c>
      <c r="O21" s="15">
        <v>1</v>
      </c>
    </row>
    <row r="22" spans="2:15" ht="23.25">
      <c r="B22" s="7" t="s">
        <v>76</v>
      </c>
      <c r="C22" s="17">
        <v>1420740231</v>
      </c>
      <c r="D22" s="17">
        <v>505532694</v>
      </c>
      <c r="E22" s="17">
        <v>46809055</v>
      </c>
      <c r="F22" s="17">
        <v>894259374</v>
      </c>
      <c r="G22" s="17">
        <v>949204920</v>
      </c>
      <c r="H22" s="17">
        <v>860100565</v>
      </c>
      <c r="I22" s="17">
        <v>59318988</v>
      </c>
      <c r="J22" s="17">
        <v>29785276</v>
      </c>
      <c r="K22" s="17">
        <v>36022010</v>
      </c>
      <c r="L22" s="8">
        <v>0.9618021236420385</v>
      </c>
      <c r="M22" s="8">
        <v>0.06633309051563825</v>
      </c>
      <c r="O22" s="15">
        <v>1</v>
      </c>
    </row>
    <row r="23" spans="2:15" ht="23.25">
      <c r="B23" s="7" t="s">
        <v>75</v>
      </c>
      <c r="C23" s="17">
        <v>1399374261</v>
      </c>
      <c r="D23" s="17">
        <v>479915231</v>
      </c>
      <c r="E23" s="17">
        <v>62045324</v>
      </c>
      <c r="F23" s="17">
        <v>3333769985</v>
      </c>
      <c r="G23" s="17">
        <v>3558578480</v>
      </c>
      <c r="H23" s="17">
        <v>3276429030</v>
      </c>
      <c r="I23" s="17">
        <v>264582777</v>
      </c>
      <c r="J23" s="17">
        <v>17566673</v>
      </c>
      <c r="K23" s="17">
        <v>40363259</v>
      </c>
      <c r="L23" s="8">
        <v>0.9827999666269717</v>
      </c>
      <c r="M23" s="8">
        <v>0.07936443671593017</v>
      </c>
      <c r="O23" s="15">
        <v>1</v>
      </c>
    </row>
    <row r="24" spans="2:15" ht="23.25">
      <c r="B24" s="7" t="s">
        <v>73</v>
      </c>
      <c r="C24" s="17">
        <v>1454590120</v>
      </c>
      <c r="D24" s="17">
        <v>495150017</v>
      </c>
      <c r="E24" s="17">
        <v>49019958</v>
      </c>
      <c r="F24" s="17">
        <v>2483603665</v>
      </c>
      <c r="G24" s="17">
        <v>2650108627</v>
      </c>
      <c r="H24" s="17">
        <v>2420587219</v>
      </c>
      <c r="I24" s="17">
        <v>199741302</v>
      </c>
      <c r="J24" s="17">
        <v>29780106</v>
      </c>
      <c r="K24" s="17">
        <v>51432860</v>
      </c>
      <c r="L24" s="8">
        <v>0.9746270119954908</v>
      </c>
      <c r="M24" s="8">
        <v>0.08042398423502085</v>
      </c>
      <c r="O24" s="15">
        <v>1</v>
      </c>
    </row>
    <row r="25" spans="2:15" ht="23.25">
      <c r="B25" s="7" t="s">
        <v>44</v>
      </c>
      <c r="C25" s="17">
        <v>1426277499</v>
      </c>
      <c r="D25" s="17">
        <v>476756978</v>
      </c>
      <c r="E25" s="17">
        <v>29635489</v>
      </c>
      <c r="F25" s="17">
        <v>1654027891</v>
      </c>
      <c r="G25" s="17">
        <v>1765591373</v>
      </c>
      <c r="H25" s="17">
        <v>1598270880</v>
      </c>
      <c r="I25" s="17">
        <v>142041645</v>
      </c>
      <c r="J25" s="17">
        <v>25278848</v>
      </c>
      <c r="K25" s="17">
        <v>40915023</v>
      </c>
      <c r="L25" s="8">
        <v>0.9662901627576</v>
      </c>
      <c r="M25" s="8">
        <v>0.08587620908503774</v>
      </c>
      <c r="O25" s="15">
        <v>1</v>
      </c>
    </row>
    <row r="26" spans="2:15" ht="23.25">
      <c r="B26" s="7" t="s">
        <v>43</v>
      </c>
      <c r="C26" s="17">
        <v>1470433976</v>
      </c>
      <c r="D26" s="17">
        <v>403290734</v>
      </c>
      <c r="E26" s="17">
        <v>41679404</v>
      </c>
      <c r="F26" s="17">
        <v>826044728</v>
      </c>
      <c r="G26" s="17">
        <v>879756732</v>
      </c>
      <c r="H26" s="17">
        <v>806789301</v>
      </c>
      <c r="I26" s="17">
        <v>84726270</v>
      </c>
      <c r="J26" s="17">
        <v>-11758839</v>
      </c>
      <c r="K26" s="17">
        <v>-4725714</v>
      </c>
      <c r="L26" s="8">
        <v>0.9766896072969066</v>
      </c>
      <c r="M26" s="8">
        <v>0.10256862265211382</v>
      </c>
      <c r="O26" s="15">
        <v>1</v>
      </c>
    </row>
    <row r="27" spans="2:15" ht="23.25">
      <c r="B27" s="7" t="s">
        <v>45</v>
      </c>
      <c r="C27" s="17">
        <v>1477552113</v>
      </c>
      <c r="D27" s="17">
        <v>419324870</v>
      </c>
      <c r="E27" s="17">
        <v>59278227</v>
      </c>
      <c r="F27" s="17">
        <v>3167470248</v>
      </c>
      <c r="G27" s="17">
        <v>3357499890</v>
      </c>
      <c r="H27" s="17">
        <v>3111395712</v>
      </c>
      <c r="I27" s="17">
        <v>271400456</v>
      </c>
      <c r="J27" s="17">
        <v>-25296278</v>
      </c>
      <c r="K27" s="17">
        <v>-13498515</v>
      </c>
      <c r="L27" s="8">
        <v>0.9822967442123863</v>
      </c>
      <c r="M27" s="8">
        <v>0.08568366385489093</v>
      </c>
      <c r="O27" s="15"/>
    </row>
    <row r="28" spans="2:15" ht="23.25">
      <c r="B28" s="7" t="s">
        <v>46</v>
      </c>
      <c r="C28" s="17">
        <v>1445153790</v>
      </c>
      <c r="D28" s="17">
        <v>260938764</v>
      </c>
      <c r="E28" s="17">
        <v>42906984</v>
      </c>
      <c r="F28" s="17">
        <v>2366965606</v>
      </c>
      <c r="G28" s="17">
        <v>2506269493</v>
      </c>
      <c r="H28" s="17">
        <v>2320767100</v>
      </c>
      <c r="I28" s="17">
        <v>208505516</v>
      </c>
      <c r="J28" s="17">
        <v>-23003123</v>
      </c>
      <c r="K28" s="17">
        <v>-13726585</v>
      </c>
      <c r="L28" s="8">
        <v>0.9804819698761605</v>
      </c>
      <c r="M28" s="8">
        <v>0.08808979542054234</v>
      </c>
      <c r="O28" s="15">
        <v>1</v>
      </c>
    </row>
    <row r="29" spans="2:15" ht="23.25">
      <c r="B29" s="7" t="s">
        <v>47</v>
      </c>
      <c r="C29" s="17">
        <v>1414691793</v>
      </c>
      <c r="D29" s="17">
        <v>264684585</v>
      </c>
      <c r="E29" s="17">
        <v>35630401</v>
      </c>
      <c r="F29" s="17">
        <v>1580403131</v>
      </c>
      <c r="G29" s="17">
        <v>1671280703</v>
      </c>
      <c r="H29" s="17">
        <v>1541259916</v>
      </c>
      <c r="I29" s="17">
        <v>150676573</v>
      </c>
      <c r="J29" s="17">
        <v>-20655786</v>
      </c>
      <c r="K29" s="17">
        <v>-13159352</v>
      </c>
      <c r="L29" s="8">
        <v>0.9752321327184209</v>
      </c>
      <c r="M29" s="8">
        <v>0.09534059382979038</v>
      </c>
      <c r="O29" s="15"/>
    </row>
    <row r="30" spans="2:15" ht="23.25">
      <c r="B30" s="7" t="s">
        <v>48</v>
      </c>
      <c r="C30" s="17">
        <v>1367367769</v>
      </c>
      <c r="D30" s="17">
        <v>238559507</v>
      </c>
      <c r="E30" s="17">
        <v>31038107</v>
      </c>
      <c r="F30" s="17">
        <v>782842785</v>
      </c>
      <c r="G30" s="17">
        <v>827750850</v>
      </c>
      <c r="H30" s="17">
        <v>762420784</v>
      </c>
      <c r="I30" s="17">
        <v>90338875</v>
      </c>
      <c r="J30" s="17">
        <v>-25008809</v>
      </c>
      <c r="K30" s="17">
        <v>-21348011</v>
      </c>
      <c r="L30" s="8">
        <v>0.973913023928553</v>
      </c>
      <c r="M30" s="8">
        <v>0.11539848962138675</v>
      </c>
      <c r="O30" s="15"/>
    </row>
    <row r="31" spans="2:15" ht="23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72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12</v>
      </c>
      <c r="O33" s="15">
        <v>1</v>
      </c>
    </row>
    <row r="34" spans="2:15" ht="60.75" customHeight="1">
      <c r="B34" s="13" t="s">
        <v>23</v>
      </c>
      <c r="C34" s="13" t="s">
        <v>25</v>
      </c>
      <c r="D34" s="13" t="s">
        <v>26</v>
      </c>
      <c r="E34" s="13" t="s">
        <v>74</v>
      </c>
      <c r="F34" s="13" t="s">
        <v>28</v>
      </c>
      <c r="G34" s="13" t="s">
        <v>39</v>
      </c>
      <c r="H34" s="13" t="s">
        <v>30</v>
      </c>
      <c r="I34" s="13" t="s">
        <v>34</v>
      </c>
      <c r="J34" s="13" t="s">
        <v>33</v>
      </c>
      <c r="K34" s="13" t="s">
        <v>40</v>
      </c>
      <c r="L34" s="13" t="s">
        <v>31</v>
      </c>
      <c r="M34" s="13" t="s">
        <v>38</v>
      </c>
      <c r="O34" s="15">
        <v>1</v>
      </c>
    </row>
    <row r="35" spans="2:15" ht="51" hidden="1">
      <c r="B35" s="13" t="s">
        <v>23</v>
      </c>
      <c r="C35" s="13" t="s">
        <v>25</v>
      </c>
      <c r="D35" s="13" t="s">
        <v>26</v>
      </c>
      <c r="E35" s="13" t="s">
        <v>27</v>
      </c>
      <c r="F35" s="13" t="s">
        <v>28</v>
      </c>
      <c r="G35" s="13" t="s">
        <v>39</v>
      </c>
      <c r="H35" s="13" t="s">
        <v>30</v>
      </c>
      <c r="I35" s="13" t="s">
        <v>34</v>
      </c>
      <c r="J35" s="13" t="s">
        <v>33</v>
      </c>
      <c r="K35" s="13" t="s">
        <v>40</v>
      </c>
      <c r="L35" s="13" t="s">
        <v>31</v>
      </c>
      <c r="M35" s="13" t="s">
        <v>38</v>
      </c>
      <c r="O35" s="15">
        <v>1</v>
      </c>
    </row>
    <row r="36" spans="2:15" ht="23.25">
      <c r="B36" s="7" t="s">
        <v>53</v>
      </c>
      <c r="C36" s="17">
        <v>1300833164</v>
      </c>
      <c r="D36" s="17">
        <v>203154414</v>
      </c>
      <c r="E36" s="17">
        <v>51641789</v>
      </c>
      <c r="F36" s="17">
        <v>2993160516</v>
      </c>
      <c r="G36" s="17">
        <v>3137567702</v>
      </c>
      <c r="H36" s="17">
        <v>2894862158</v>
      </c>
      <c r="I36" s="17">
        <v>278274857</v>
      </c>
      <c r="J36" s="17">
        <v>-35569313</v>
      </c>
      <c r="K36" s="17">
        <v>-15594565</v>
      </c>
      <c r="L36" s="8">
        <v>0.9671590088555077</v>
      </c>
      <c r="M36" s="8">
        <v>0.09297024182715098</v>
      </c>
      <c r="O36" s="15">
        <v>1</v>
      </c>
    </row>
    <row r="37" spans="2:15" ht="23.25">
      <c r="B37" s="7" t="s">
        <v>54</v>
      </c>
      <c r="C37" s="17">
        <v>1216487332</v>
      </c>
      <c r="D37" s="17">
        <v>480142101</v>
      </c>
      <c r="E37" s="17">
        <v>42959042</v>
      </c>
      <c r="F37" s="17">
        <v>2902846893</v>
      </c>
      <c r="G37" s="17">
        <v>3007953433</v>
      </c>
      <c r="H37" s="17">
        <v>2821201585</v>
      </c>
      <c r="I37" s="17">
        <v>216215400</v>
      </c>
      <c r="J37" s="17">
        <v>-29463552</v>
      </c>
      <c r="K37" s="17">
        <v>-14941651</v>
      </c>
      <c r="L37" s="8">
        <v>0.971874056397228</v>
      </c>
      <c r="M37" s="8">
        <v>0.07448391457413321</v>
      </c>
      <c r="O37" s="15">
        <v>1</v>
      </c>
    </row>
    <row r="38" spans="2:15" ht="23.25">
      <c r="B38" s="7" t="s">
        <v>55</v>
      </c>
      <c r="C38" s="17">
        <v>1152730905</v>
      </c>
      <c r="D38" s="17">
        <v>471710370</v>
      </c>
      <c r="E38" s="17">
        <v>44981755</v>
      </c>
      <c r="F38" s="17">
        <v>2784779044</v>
      </c>
      <c r="G38" s="17">
        <v>2862571362</v>
      </c>
      <c r="H38" s="17">
        <v>2656430387</v>
      </c>
      <c r="I38" s="17">
        <v>205348512</v>
      </c>
      <c r="J38" s="17">
        <v>792463</v>
      </c>
      <c r="K38" s="17">
        <v>21994667</v>
      </c>
      <c r="L38" s="8">
        <v>0.9539106496522458</v>
      </c>
      <c r="M38" s="8">
        <v>0.07373960689715675</v>
      </c>
      <c r="O38" s="15">
        <v>1</v>
      </c>
    </row>
    <row r="39" spans="2:15" ht="23.25">
      <c r="B39" s="7" t="s">
        <v>56</v>
      </c>
      <c r="C39" s="17">
        <v>1097883066</v>
      </c>
      <c r="D39" s="17">
        <v>490570548</v>
      </c>
      <c r="E39" s="17">
        <v>39157319</v>
      </c>
      <c r="F39" s="17">
        <v>2636683493</v>
      </c>
      <c r="G39" s="17">
        <v>2698750937</v>
      </c>
      <c r="H39" s="17">
        <v>2506533411</v>
      </c>
      <c r="I39" s="17">
        <v>180904332</v>
      </c>
      <c r="J39" s="17">
        <v>11313194</v>
      </c>
      <c r="K39" s="17">
        <v>33004427</v>
      </c>
      <c r="L39" s="8">
        <v>0.9506387162715855</v>
      </c>
      <c r="M39" s="8">
        <v>0.06861056038021777</v>
      </c>
      <c r="O39" s="15">
        <v>1</v>
      </c>
    </row>
    <row r="40" spans="2:15" ht="23.25">
      <c r="B40" s="7" t="s">
        <v>57</v>
      </c>
      <c r="C40" s="17">
        <v>966159041</v>
      </c>
      <c r="D40" s="17">
        <v>499991024</v>
      </c>
      <c r="E40" s="17">
        <v>31886704</v>
      </c>
      <c r="F40" s="17">
        <v>2469151111</v>
      </c>
      <c r="G40" s="17">
        <v>2529166094</v>
      </c>
      <c r="H40" s="17">
        <v>2369082017</v>
      </c>
      <c r="I40" s="17">
        <v>143860486</v>
      </c>
      <c r="J40" s="17">
        <v>16223591</v>
      </c>
      <c r="K40" s="17">
        <v>39486783</v>
      </c>
      <c r="L40" s="8">
        <v>0.9594722682001134</v>
      </c>
      <c r="M40" s="8">
        <v>0.05826313560118111</v>
      </c>
      <c r="O40" s="15">
        <v>1</v>
      </c>
    </row>
    <row r="41" spans="2:15" ht="23.25">
      <c r="B41" s="7" t="s">
        <v>58</v>
      </c>
      <c r="C41" s="17">
        <v>941702063</v>
      </c>
      <c r="D41" s="17">
        <v>494918142</v>
      </c>
      <c r="E41" s="17">
        <v>35435931</v>
      </c>
      <c r="F41" s="17">
        <v>2379592628</v>
      </c>
      <c r="G41" s="17">
        <v>2430952550</v>
      </c>
      <c r="H41" s="17">
        <v>2286443404</v>
      </c>
      <c r="I41" s="17">
        <v>131093228</v>
      </c>
      <c r="J41" s="17">
        <v>13415918</v>
      </c>
      <c r="K41" s="17">
        <v>36291771</v>
      </c>
      <c r="L41" s="8">
        <v>0.960854970340747</v>
      </c>
      <c r="M41" s="8">
        <v>0.05509061780468753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>
        <v>1</v>
      </c>
    </row>
    <row r="45" ht="23.25" customHeight="1">
      <c r="O45" s="15"/>
    </row>
    <row r="46" ht="23.25" customHeight="1">
      <c r="O46" s="15"/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13</v>
      </c>
    </row>
    <row r="13" spans="2:13" ht="60.75" customHeight="1">
      <c r="B13" s="16" t="s">
        <v>42</v>
      </c>
      <c r="C13" s="16" t="s">
        <v>25</v>
      </c>
      <c r="D13" s="16" t="s">
        <v>26</v>
      </c>
      <c r="E13" s="16" t="s">
        <v>74</v>
      </c>
      <c r="F13" s="16" t="s">
        <v>28</v>
      </c>
      <c r="G13" s="16" t="s">
        <v>39</v>
      </c>
      <c r="H13" s="16" t="s">
        <v>30</v>
      </c>
      <c r="I13" s="16" t="s">
        <v>34</v>
      </c>
      <c r="J13" s="16" t="s">
        <v>33</v>
      </c>
      <c r="K13" s="16" t="s">
        <v>40</v>
      </c>
      <c r="L13" s="16" t="s">
        <v>31</v>
      </c>
      <c r="M13" s="16" t="s">
        <v>38</v>
      </c>
    </row>
    <row r="14" spans="2:15" ht="60.75" hidden="1">
      <c r="B14" s="16" t="s">
        <v>42</v>
      </c>
      <c r="C14" s="16" t="s">
        <v>25</v>
      </c>
      <c r="D14" s="16" t="s">
        <v>26</v>
      </c>
      <c r="E14" s="16" t="s">
        <v>27</v>
      </c>
      <c r="F14" s="16" t="s">
        <v>28</v>
      </c>
      <c r="G14" s="16" t="s">
        <v>39</v>
      </c>
      <c r="H14" s="16" t="s">
        <v>30</v>
      </c>
      <c r="I14" s="16" t="s">
        <v>34</v>
      </c>
      <c r="J14" s="16" t="s">
        <v>33</v>
      </c>
      <c r="K14" s="16" t="s">
        <v>40</v>
      </c>
      <c r="L14" s="16" t="s">
        <v>31</v>
      </c>
      <c r="M14" s="16" t="s">
        <v>38</v>
      </c>
      <c r="O14" s="14" t="s">
        <v>41</v>
      </c>
    </row>
    <row r="15" spans="2:15" ht="23.25">
      <c r="B15" s="7" t="s">
        <v>85</v>
      </c>
      <c r="C15" s="17">
        <v>12275263</v>
      </c>
      <c r="D15" s="17">
        <v>10315983</v>
      </c>
      <c r="E15" s="17">
        <v>0</v>
      </c>
      <c r="F15" s="17">
        <v>49861</v>
      </c>
      <c r="G15" s="17">
        <v>49861</v>
      </c>
      <c r="H15" s="17">
        <v>-188562</v>
      </c>
      <c r="I15" s="17">
        <v>-296329</v>
      </c>
      <c r="J15" s="17">
        <v>534752</v>
      </c>
      <c r="K15" s="17">
        <v>958262</v>
      </c>
      <c r="L15" s="8">
        <v>-3.7817532741020035</v>
      </c>
      <c r="M15" s="8">
        <v>-5.94310182306813</v>
      </c>
      <c r="O15" s="15">
        <v>1</v>
      </c>
    </row>
    <row r="16" spans="2:15" ht="23.25">
      <c r="B16" s="7" t="s">
        <v>86</v>
      </c>
      <c r="C16" s="17">
        <v>12386427</v>
      </c>
      <c r="D16" s="17">
        <v>10394564</v>
      </c>
      <c r="E16" s="17">
        <v>26</v>
      </c>
      <c r="F16" s="17">
        <v>42080</v>
      </c>
      <c r="G16" s="17">
        <v>42080</v>
      </c>
      <c r="H16" s="17">
        <v>-123001</v>
      </c>
      <c r="I16" s="17">
        <v>-721184</v>
      </c>
      <c r="J16" s="17">
        <v>886265</v>
      </c>
      <c r="K16" s="17">
        <v>1013566</v>
      </c>
      <c r="L16" s="8">
        <v>-2.923027566539924</v>
      </c>
      <c r="M16" s="8">
        <v>-17.138403041825097</v>
      </c>
      <c r="O16" s="15">
        <v>1</v>
      </c>
    </row>
    <row r="17" spans="2:15" ht="23.25">
      <c r="B17" s="7" t="s">
        <v>83</v>
      </c>
      <c r="C17" s="17">
        <v>13171689</v>
      </c>
      <c r="D17" s="17">
        <v>10891098</v>
      </c>
      <c r="E17" s="17">
        <v>19161</v>
      </c>
      <c r="F17" s="17">
        <v>654449</v>
      </c>
      <c r="G17" s="17">
        <v>654449</v>
      </c>
      <c r="H17" s="17">
        <v>-72540</v>
      </c>
      <c r="I17" s="17">
        <v>-782269</v>
      </c>
      <c r="J17" s="17">
        <v>1509258</v>
      </c>
      <c r="K17" s="17">
        <v>1414082</v>
      </c>
      <c r="L17" s="8">
        <v>-0.11084133370209137</v>
      </c>
      <c r="M17" s="8">
        <v>-1.195309336556401</v>
      </c>
      <c r="O17" s="15">
        <v>1</v>
      </c>
    </row>
    <row r="18" spans="2:15" ht="23.25">
      <c r="B18" s="7" t="s">
        <v>82</v>
      </c>
      <c r="C18" s="17">
        <v>13040380</v>
      </c>
      <c r="D18" s="17">
        <v>10768559</v>
      </c>
      <c r="E18" s="17">
        <v>68197</v>
      </c>
      <c r="F18" s="17">
        <v>362056</v>
      </c>
      <c r="G18" s="17">
        <v>362056</v>
      </c>
      <c r="H18" s="17">
        <v>-96446</v>
      </c>
      <c r="I18" s="17">
        <v>-597574</v>
      </c>
      <c r="J18" s="17">
        <v>1056076</v>
      </c>
      <c r="K18" s="17">
        <v>1291449</v>
      </c>
      <c r="L18" s="8">
        <v>-0.26638420575822525</v>
      </c>
      <c r="M18" s="8">
        <v>-1.650501579866098</v>
      </c>
      <c r="O18" s="15">
        <v>1</v>
      </c>
    </row>
    <row r="19" spans="2:15" ht="23.25">
      <c r="B19" s="7" t="s">
        <v>80</v>
      </c>
      <c r="C19" s="17">
        <v>15993433</v>
      </c>
      <c r="D19" s="17">
        <v>9354630</v>
      </c>
      <c r="E19" s="17">
        <v>123558</v>
      </c>
      <c r="F19" s="17">
        <v>5712641</v>
      </c>
      <c r="G19" s="17">
        <v>5712641</v>
      </c>
      <c r="H19" s="17">
        <v>1128414</v>
      </c>
      <c r="I19" s="17">
        <v>12970044</v>
      </c>
      <c r="J19" s="17">
        <v>-8385817</v>
      </c>
      <c r="K19" s="17">
        <v>-5665592</v>
      </c>
      <c r="L19" s="8">
        <v>0.1975293038718869</v>
      </c>
      <c r="M19" s="8">
        <v>2.2704111810981997</v>
      </c>
      <c r="O19" s="15">
        <v>1</v>
      </c>
    </row>
    <row r="20" spans="2:15" ht="23.25">
      <c r="B20" s="7" t="s">
        <v>79</v>
      </c>
      <c r="C20" s="17">
        <v>18045584</v>
      </c>
      <c r="D20" s="17">
        <v>13991757</v>
      </c>
      <c r="E20" s="17">
        <v>523969</v>
      </c>
      <c r="F20" s="17">
        <v>5719269</v>
      </c>
      <c r="G20" s="17">
        <v>5719269</v>
      </c>
      <c r="H20" s="17">
        <v>1445270</v>
      </c>
      <c r="I20" s="17">
        <v>7529153</v>
      </c>
      <c r="J20" s="17">
        <v>-3255154</v>
      </c>
      <c r="K20" s="17">
        <v>-1308403</v>
      </c>
      <c r="L20" s="8">
        <v>0.2527018750123486</v>
      </c>
      <c r="M20" s="8">
        <v>1.3164537286146185</v>
      </c>
      <c r="O20" s="15">
        <v>1</v>
      </c>
    </row>
    <row r="21" spans="2:15" ht="23.25">
      <c r="B21" s="7" t="s">
        <v>77</v>
      </c>
      <c r="C21" s="17">
        <v>28568542</v>
      </c>
      <c r="D21" s="17">
        <v>14443292</v>
      </c>
      <c r="E21" s="17">
        <v>3409849</v>
      </c>
      <c r="F21" s="17">
        <v>5051175</v>
      </c>
      <c r="G21" s="17">
        <v>5051175</v>
      </c>
      <c r="H21" s="17">
        <v>3077053</v>
      </c>
      <c r="I21" s="17">
        <v>4166294</v>
      </c>
      <c r="J21" s="17">
        <v>-2192172</v>
      </c>
      <c r="K21" s="17">
        <v>-880113</v>
      </c>
      <c r="L21" s="8">
        <v>0.60917568684514</v>
      </c>
      <c r="M21" s="8">
        <v>0.8248168000514732</v>
      </c>
      <c r="O21" s="15">
        <v>1</v>
      </c>
    </row>
    <row r="22" spans="2:15" ht="23.25">
      <c r="B22" s="7" t="s">
        <v>76</v>
      </c>
      <c r="C22" s="17">
        <v>30077259</v>
      </c>
      <c r="D22" s="17">
        <v>14392117</v>
      </c>
      <c r="E22" s="17">
        <v>3163248</v>
      </c>
      <c r="F22" s="17">
        <v>3506850</v>
      </c>
      <c r="G22" s="17">
        <v>3506850</v>
      </c>
      <c r="H22" s="17">
        <v>1645915</v>
      </c>
      <c r="I22" s="17">
        <v>2221930</v>
      </c>
      <c r="J22" s="17">
        <v>-360995</v>
      </c>
      <c r="K22" s="17">
        <v>-932032</v>
      </c>
      <c r="L22" s="8">
        <v>0.46934285755022315</v>
      </c>
      <c r="M22" s="8">
        <v>0.6335971028130658</v>
      </c>
      <c r="O22" s="15">
        <v>1</v>
      </c>
    </row>
    <row r="23" spans="2:15" ht="23.25">
      <c r="B23" s="7" t="s">
        <v>75</v>
      </c>
      <c r="C23" s="17">
        <v>51322690</v>
      </c>
      <c r="D23" s="17">
        <v>15331044</v>
      </c>
      <c r="E23" s="17">
        <v>17504085</v>
      </c>
      <c r="F23" s="17">
        <v>135886945</v>
      </c>
      <c r="G23" s="17">
        <v>135886945</v>
      </c>
      <c r="H23" s="17">
        <v>125618668</v>
      </c>
      <c r="I23" s="17">
        <v>34634798</v>
      </c>
      <c r="J23" s="17">
        <v>-16209887</v>
      </c>
      <c r="K23" s="17">
        <v>-6707262</v>
      </c>
      <c r="L23" s="8">
        <v>0.9244351471732623</v>
      </c>
      <c r="M23" s="8">
        <v>0.25487951031646194</v>
      </c>
      <c r="O23" s="15">
        <v>1</v>
      </c>
    </row>
    <row r="24" spans="2:15" ht="23.25">
      <c r="B24" s="7" t="s">
        <v>73</v>
      </c>
      <c r="C24" s="17">
        <v>61736705</v>
      </c>
      <c r="D24" s="17">
        <v>13760441</v>
      </c>
      <c r="E24" s="17">
        <v>214611138</v>
      </c>
      <c r="F24" s="17">
        <v>108198632</v>
      </c>
      <c r="G24" s="17">
        <v>108198632</v>
      </c>
      <c r="H24" s="17">
        <v>101194718</v>
      </c>
      <c r="I24" s="17">
        <v>26993165</v>
      </c>
      <c r="J24" s="17">
        <v>-13871789</v>
      </c>
      <c r="K24" s="17">
        <v>-7789277</v>
      </c>
      <c r="L24" s="8">
        <v>0.935267998582459</v>
      </c>
      <c r="M24" s="8">
        <v>0.2494778769476494</v>
      </c>
      <c r="O24" s="15">
        <v>1</v>
      </c>
    </row>
    <row r="25" spans="2:15" ht="23.25">
      <c r="B25" s="7" t="s">
        <v>44</v>
      </c>
      <c r="C25" s="17">
        <v>91841793</v>
      </c>
      <c r="D25" s="17">
        <v>15361711</v>
      </c>
      <c r="E25" s="17">
        <v>22640188</v>
      </c>
      <c r="F25" s="17">
        <v>72703596</v>
      </c>
      <c r="G25" s="17">
        <v>72703596</v>
      </c>
      <c r="H25" s="17">
        <v>67843412</v>
      </c>
      <c r="I25" s="17">
        <v>18993657</v>
      </c>
      <c r="J25" s="17">
        <v>-10055165</v>
      </c>
      <c r="K25" s="17">
        <v>-6166971</v>
      </c>
      <c r="L25" s="8">
        <v>0.9331507068783778</v>
      </c>
      <c r="M25" s="8">
        <v>0.26124783428869186</v>
      </c>
      <c r="O25" s="15">
        <v>1</v>
      </c>
    </row>
    <row r="26" spans="2:15" ht="23.25">
      <c r="B26" s="7" t="s">
        <v>43</v>
      </c>
      <c r="C26" s="17">
        <v>92015041</v>
      </c>
      <c r="D26" s="17">
        <v>17878139</v>
      </c>
      <c r="E26" s="17">
        <v>23017127</v>
      </c>
      <c r="F26" s="17">
        <v>37997641</v>
      </c>
      <c r="G26" s="17">
        <v>37997641</v>
      </c>
      <c r="H26" s="17">
        <v>34573155</v>
      </c>
      <c r="I26" s="17">
        <v>11197827</v>
      </c>
      <c r="J26" s="17">
        <v>-5734187</v>
      </c>
      <c r="K26" s="17">
        <v>-3646368</v>
      </c>
      <c r="L26" s="8">
        <v>0.9098763525872566</v>
      </c>
      <c r="M26" s="8">
        <v>0.2946979524334155</v>
      </c>
      <c r="O26" s="15">
        <v>1</v>
      </c>
    </row>
    <row r="27" spans="2:15" ht="23.25">
      <c r="B27" s="7" t="s">
        <v>45</v>
      </c>
      <c r="C27" s="17">
        <v>107265198</v>
      </c>
      <c r="D27" s="17">
        <v>21417943</v>
      </c>
      <c r="E27" s="17">
        <v>30246400</v>
      </c>
      <c r="F27" s="17">
        <v>198318819</v>
      </c>
      <c r="G27" s="17">
        <v>198318819</v>
      </c>
      <c r="H27" s="17">
        <v>206264891</v>
      </c>
      <c r="I27" s="17">
        <v>50393818</v>
      </c>
      <c r="J27" s="17">
        <v>-56685453</v>
      </c>
      <c r="K27" s="17">
        <v>-35739721</v>
      </c>
      <c r="L27" s="8">
        <v>1.040067160746858</v>
      </c>
      <c r="M27" s="8">
        <v>0.2541050731045348</v>
      </c>
      <c r="O27" s="15"/>
    </row>
    <row r="28" spans="2:15" ht="23.25" customHeight="1">
      <c r="B28" s="7" t="s">
        <v>46</v>
      </c>
      <c r="C28" s="17">
        <v>106618028</v>
      </c>
      <c r="D28" s="17">
        <v>22679129</v>
      </c>
      <c r="E28" s="17">
        <v>38072204</v>
      </c>
      <c r="F28" s="17">
        <v>153541807</v>
      </c>
      <c r="G28" s="17">
        <v>153541807</v>
      </c>
      <c r="H28" s="17">
        <v>156563567</v>
      </c>
      <c r="I28" s="17">
        <v>38923455</v>
      </c>
      <c r="J28" s="17">
        <v>-34809895</v>
      </c>
      <c r="K28" s="17">
        <v>-22606184</v>
      </c>
      <c r="L28" s="8">
        <v>1.0196803727860255</v>
      </c>
      <c r="M28" s="8">
        <v>0.25350395283546456</v>
      </c>
      <c r="O28" s="15">
        <v>1</v>
      </c>
    </row>
    <row r="29" spans="2:15" ht="23.25" customHeight="1">
      <c r="B29" s="7" t="s">
        <v>47</v>
      </c>
      <c r="C29" s="17">
        <v>105575959</v>
      </c>
      <c r="D29" s="17">
        <v>22407128</v>
      </c>
      <c r="E29" s="17">
        <v>39696326</v>
      </c>
      <c r="F29" s="17">
        <v>102782406</v>
      </c>
      <c r="G29" s="17">
        <v>102782406</v>
      </c>
      <c r="H29" s="17">
        <v>107335414</v>
      </c>
      <c r="I29" s="17">
        <v>27129191</v>
      </c>
      <c r="J29" s="17">
        <v>-27222624</v>
      </c>
      <c r="K29" s="17">
        <v>-18398683</v>
      </c>
      <c r="L29" s="8">
        <v>1.0442975425190961</v>
      </c>
      <c r="M29" s="8">
        <v>0.26394781028963266</v>
      </c>
      <c r="O29" s="15"/>
    </row>
    <row r="30" spans="2:15" ht="23.25" customHeight="1">
      <c r="B30" s="7" t="s">
        <v>48</v>
      </c>
      <c r="C30" s="17">
        <v>102575806</v>
      </c>
      <c r="D30" s="17">
        <v>32432981</v>
      </c>
      <c r="E30" s="17">
        <v>37103549</v>
      </c>
      <c r="F30" s="17">
        <v>55691187</v>
      </c>
      <c r="G30" s="17">
        <v>55691187</v>
      </c>
      <c r="H30" s="17">
        <v>55125043</v>
      </c>
      <c r="I30" s="17">
        <v>14056481</v>
      </c>
      <c r="J30" s="17">
        <v>-11706507</v>
      </c>
      <c r="K30" s="17">
        <v>-8326517</v>
      </c>
      <c r="L30" s="8">
        <v>0.989834226374094</v>
      </c>
      <c r="M30" s="8">
        <v>0.25240045610807327</v>
      </c>
      <c r="O30" s="15"/>
    </row>
    <row r="31" spans="2:15" ht="23.25" customHeight="1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72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13</v>
      </c>
      <c r="O33" s="15">
        <v>1</v>
      </c>
    </row>
    <row r="34" spans="2:15" ht="60.75" customHeight="1">
      <c r="B34" s="16" t="s">
        <v>23</v>
      </c>
      <c r="C34" s="16" t="s">
        <v>25</v>
      </c>
      <c r="D34" s="16" t="s">
        <v>26</v>
      </c>
      <c r="E34" s="16" t="s">
        <v>74</v>
      </c>
      <c r="F34" s="16" t="s">
        <v>28</v>
      </c>
      <c r="G34" s="16" t="s">
        <v>39</v>
      </c>
      <c r="H34" s="16" t="s">
        <v>30</v>
      </c>
      <c r="I34" s="16" t="s">
        <v>34</v>
      </c>
      <c r="J34" s="16" t="s">
        <v>33</v>
      </c>
      <c r="K34" s="16" t="s">
        <v>40</v>
      </c>
      <c r="L34" s="16" t="s">
        <v>31</v>
      </c>
      <c r="M34" s="16" t="s">
        <v>38</v>
      </c>
      <c r="O34" s="15">
        <v>1</v>
      </c>
    </row>
    <row r="35" spans="2:15" ht="51" hidden="1">
      <c r="B35" s="16" t="s">
        <v>23</v>
      </c>
      <c r="C35" s="16" t="s">
        <v>25</v>
      </c>
      <c r="D35" s="16" t="s">
        <v>26</v>
      </c>
      <c r="E35" s="16" t="s">
        <v>27</v>
      </c>
      <c r="F35" s="16" t="s">
        <v>28</v>
      </c>
      <c r="G35" s="16" t="s">
        <v>39</v>
      </c>
      <c r="H35" s="16" t="s">
        <v>30</v>
      </c>
      <c r="I35" s="16" t="s">
        <v>34</v>
      </c>
      <c r="J35" s="16" t="s">
        <v>33</v>
      </c>
      <c r="K35" s="16" t="s">
        <v>40</v>
      </c>
      <c r="L35" s="16" t="s">
        <v>31</v>
      </c>
      <c r="M35" s="16" t="s">
        <v>38</v>
      </c>
      <c r="O35" s="15">
        <v>1</v>
      </c>
    </row>
    <row r="36" spans="2:15" ht="23.25">
      <c r="B36" s="7" t="s">
        <v>53</v>
      </c>
      <c r="C36" s="17">
        <v>93693961</v>
      </c>
      <c r="D36" s="17">
        <v>40755951</v>
      </c>
      <c r="E36" s="17">
        <v>21703262</v>
      </c>
      <c r="F36" s="17">
        <v>150201077</v>
      </c>
      <c r="G36" s="17">
        <v>150324280</v>
      </c>
      <c r="H36" s="17">
        <v>133440946</v>
      </c>
      <c r="I36" s="17">
        <v>41540112</v>
      </c>
      <c r="J36" s="17">
        <v>-34455240</v>
      </c>
      <c r="K36" s="17">
        <v>-24278577</v>
      </c>
      <c r="L36" s="8">
        <v>0.8884153740122649</v>
      </c>
      <c r="M36" s="8">
        <v>0.27656334315099484</v>
      </c>
      <c r="O36" s="15">
        <v>1</v>
      </c>
    </row>
    <row r="37" spans="2:15" ht="23.25">
      <c r="B37" s="7" t="s">
        <v>54</v>
      </c>
      <c r="C37" s="17">
        <v>97930384</v>
      </c>
      <c r="D37" s="17">
        <v>65555403</v>
      </c>
      <c r="E37" s="17">
        <v>16014470</v>
      </c>
      <c r="F37" s="17">
        <v>151253517</v>
      </c>
      <c r="G37" s="17">
        <v>151253517</v>
      </c>
      <c r="H37" s="17">
        <v>117040678</v>
      </c>
      <c r="I37" s="17">
        <v>37027061</v>
      </c>
      <c r="J37" s="17">
        <v>-2819228</v>
      </c>
      <c r="K37" s="17">
        <v>971780</v>
      </c>
      <c r="L37" s="8">
        <v>0.773804671265925</v>
      </c>
      <c r="M37" s="8">
        <v>0.24480132253718107</v>
      </c>
      <c r="O37" s="15">
        <v>1</v>
      </c>
    </row>
    <row r="38" spans="2:15" ht="23.25">
      <c r="B38" s="7" t="s">
        <v>55</v>
      </c>
      <c r="C38" s="17">
        <v>99725408</v>
      </c>
      <c r="D38" s="17">
        <v>64704973</v>
      </c>
      <c r="E38" s="17">
        <v>19112969</v>
      </c>
      <c r="F38" s="17">
        <v>160070899</v>
      </c>
      <c r="G38" s="17">
        <v>160070899</v>
      </c>
      <c r="H38" s="17">
        <v>128913851</v>
      </c>
      <c r="I38" s="17">
        <v>33613510</v>
      </c>
      <c r="J38" s="17">
        <v>-2464065</v>
      </c>
      <c r="K38" s="17">
        <v>-229893</v>
      </c>
      <c r="L38" s="8">
        <v>0.8053547009815945</v>
      </c>
      <c r="M38" s="8">
        <v>0.20999138637935683</v>
      </c>
      <c r="O38" s="15">
        <v>1</v>
      </c>
    </row>
    <row r="39" spans="2:15" ht="23.25">
      <c r="B39" s="7" t="s">
        <v>56</v>
      </c>
      <c r="C39" s="17">
        <v>91566632</v>
      </c>
      <c r="D39" s="17">
        <v>62480141</v>
      </c>
      <c r="E39" s="17">
        <v>17144793</v>
      </c>
      <c r="F39" s="17">
        <v>171244132</v>
      </c>
      <c r="G39" s="17">
        <v>171244132</v>
      </c>
      <c r="H39" s="17">
        <v>134646097</v>
      </c>
      <c r="I39" s="17">
        <v>34678112</v>
      </c>
      <c r="J39" s="17">
        <v>1919923</v>
      </c>
      <c r="K39" s="17">
        <v>4261632</v>
      </c>
      <c r="L39" s="8">
        <v>0.7862815235035324</v>
      </c>
      <c r="M39" s="8">
        <v>0.2025068631256807</v>
      </c>
      <c r="O39" s="15">
        <v>1</v>
      </c>
    </row>
    <row r="40" spans="2:15" ht="23.25">
      <c r="B40" s="7" t="s">
        <v>57</v>
      </c>
      <c r="C40" s="17">
        <v>97021033</v>
      </c>
      <c r="D40" s="17">
        <v>54758998</v>
      </c>
      <c r="E40" s="17">
        <v>21089223</v>
      </c>
      <c r="F40" s="17">
        <v>190280046</v>
      </c>
      <c r="G40" s="17">
        <v>190280046</v>
      </c>
      <c r="H40" s="17">
        <v>157350861</v>
      </c>
      <c r="I40" s="17">
        <v>44219549</v>
      </c>
      <c r="J40" s="17">
        <v>-11290364</v>
      </c>
      <c r="K40" s="17">
        <v>-4185255</v>
      </c>
      <c r="L40" s="8">
        <v>0.8269435724227227</v>
      </c>
      <c r="M40" s="8">
        <v>0.23239193982536666</v>
      </c>
      <c r="O40" s="15">
        <v>1</v>
      </c>
    </row>
    <row r="41" spans="2:15" ht="23.25">
      <c r="B41" s="7" t="s">
        <v>58</v>
      </c>
      <c r="C41" s="17">
        <v>97417313</v>
      </c>
      <c r="D41" s="17">
        <v>58463824</v>
      </c>
      <c r="E41" s="17">
        <v>22073227</v>
      </c>
      <c r="F41" s="17">
        <v>217901848</v>
      </c>
      <c r="G41" s="17">
        <v>217901848</v>
      </c>
      <c r="H41" s="17">
        <v>179784692</v>
      </c>
      <c r="I41" s="17">
        <v>43605054</v>
      </c>
      <c r="J41" s="17">
        <v>-5386912</v>
      </c>
      <c r="K41" s="17">
        <v>766750</v>
      </c>
      <c r="L41" s="8">
        <v>0.8250719011800212</v>
      </c>
      <c r="M41" s="8">
        <v>0.2001132821966705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>
        <v>1</v>
      </c>
    </row>
    <row r="45" ht="23.25" customHeight="1">
      <c r="O45" s="15">
        <v>1</v>
      </c>
    </row>
    <row r="46" ht="23.25" customHeight="1">
      <c r="O46" s="15">
        <v>1</v>
      </c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65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14</v>
      </c>
    </row>
    <row r="13" spans="2:13" ht="60.75" customHeight="1">
      <c r="B13" s="23" t="s">
        <v>42</v>
      </c>
      <c r="C13" s="23" t="s">
        <v>25</v>
      </c>
      <c r="D13" s="23" t="s">
        <v>26</v>
      </c>
      <c r="E13" s="23" t="s">
        <v>74</v>
      </c>
      <c r="F13" s="23" t="s">
        <v>28</v>
      </c>
      <c r="G13" s="23" t="s">
        <v>39</v>
      </c>
      <c r="H13" s="23" t="s">
        <v>30</v>
      </c>
      <c r="I13" s="23" t="s">
        <v>34</v>
      </c>
      <c r="J13" s="23" t="s">
        <v>33</v>
      </c>
      <c r="K13" s="23" t="s">
        <v>40</v>
      </c>
      <c r="L13" s="23" t="s">
        <v>31</v>
      </c>
      <c r="M13" s="23" t="s">
        <v>38</v>
      </c>
    </row>
    <row r="14" spans="2:15" ht="60.75" hidden="1">
      <c r="B14" s="23" t="s">
        <v>42</v>
      </c>
      <c r="C14" s="23" t="s">
        <v>25</v>
      </c>
      <c r="D14" s="23" t="s">
        <v>26</v>
      </c>
      <c r="E14" s="23" t="s">
        <v>27</v>
      </c>
      <c r="F14" s="23" t="s">
        <v>28</v>
      </c>
      <c r="G14" s="23" t="s">
        <v>39</v>
      </c>
      <c r="H14" s="23" t="s">
        <v>30</v>
      </c>
      <c r="I14" s="23" t="s">
        <v>34</v>
      </c>
      <c r="J14" s="23" t="s">
        <v>33</v>
      </c>
      <c r="K14" s="23" t="s">
        <v>40</v>
      </c>
      <c r="L14" s="23" t="s">
        <v>31</v>
      </c>
      <c r="M14" s="23" t="s">
        <v>38</v>
      </c>
      <c r="O14" s="14" t="s">
        <v>41</v>
      </c>
    </row>
    <row r="15" spans="2:15" ht="23.25">
      <c r="B15" s="7" t="s">
        <v>85</v>
      </c>
      <c r="C15" s="17">
        <v>316994497</v>
      </c>
      <c r="D15" s="17">
        <v>130757252</v>
      </c>
      <c r="E15" s="17">
        <v>65952699</v>
      </c>
      <c r="F15" s="17">
        <v>686361897</v>
      </c>
      <c r="G15" s="17">
        <v>437417109</v>
      </c>
      <c r="H15" s="17">
        <v>612784569</v>
      </c>
      <c r="I15" s="17">
        <v>73635577</v>
      </c>
      <c r="J15" s="17">
        <v>-249003037</v>
      </c>
      <c r="K15" s="17">
        <v>-227092210</v>
      </c>
      <c r="L15" s="8">
        <v>0.8928009723127157</v>
      </c>
      <c r="M15" s="8">
        <v>0.10728389399506541</v>
      </c>
      <c r="O15" s="15">
        <v>1</v>
      </c>
    </row>
    <row r="16" spans="2:15" ht="23.25">
      <c r="B16" s="7" t="s">
        <v>86</v>
      </c>
      <c r="C16" s="17">
        <v>276716161</v>
      </c>
      <c r="D16" s="17">
        <v>85698589</v>
      </c>
      <c r="E16" s="17">
        <v>72753449</v>
      </c>
      <c r="F16" s="17">
        <v>506344067</v>
      </c>
      <c r="G16" s="17">
        <v>506344067</v>
      </c>
      <c r="H16" s="17">
        <v>439013940</v>
      </c>
      <c r="I16" s="17">
        <v>72281070</v>
      </c>
      <c r="J16" s="17">
        <v>-4950943</v>
      </c>
      <c r="K16" s="17">
        <v>-7850764</v>
      </c>
      <c r="L16" s="8">
        <v>0.8670269261790323</v>
      </c>
      <c r="M16" s="8">
        <v>0.14275089748410147</v>
      </c>
      <c r="O16" s="15">
        <v>1</v>
      </c>
    </row>
    <row r="17" spans="2:15" ht="23.25">
      <c r="B17" s="7" t="s">
        <v>83</v>
      </c>
      <c r="C17" s="17">
        <v>274039451</v>
      </c>
      <c r="D17" s="17">
        <v>82302877</v>
      </c>
      <c r="E17" s="17">
        <v>59942504</v>
      </c>
      <c r="F17" s="17">
        <v>338476862</v>
      </c>
      <c r="G17" s="17">
        <v>338476862</v>
      </c>
      <c r="H17" s="17">
        <v>293053015</v>
      </c>
      <c r="I17" s="17">
        <v>55588237</v>
      </c>
      <c r="J17" s="17">
        <v>-10164390</v>
      </c>
      <c r="K17" s="17">
        <v>-12254021</v>
      </c>
      <c r="L17" s="8">
        <v>0.8657992551349049</v>
      </c>
      <c r="M17" s="8">
        <v>0.16423053756625763</v>
      </c>
      <c r="O17" s="15">
        <v>1</v>
      </c>
    </row>
    <row r="18" spans="2:15" ht="23.25">
      <c r="B18" s="7" t="s">
        <v>82</v>
      </c>
      <c r="C18" s="17">
        <v>278241589</v>
      </c>
      <c r="D18" s="17">
        <v>75857339</v>
      </c>
      <c r="E18" s="17">
        <v>64794186</v>
      </c>
      <c r="F18" s="17">
        <v>168376040</v>
      </c>
      <c r="G18" s="17">
        <v>168376040</v>
      </c>
      <c r="H18" s="17">
        <v>146937101</v>
      </c>
      <c r="I18" s="17">
        <v>36001475</v>
      </c>
      <c r="J18" s="17">
        <v>-14562536</v>
      </c>
      <c r="K18" s="17">
        <v>-15678538</v>
      </c>
      <c r="L18" s="8">
        <v>0.8726722697599967</v>
      </c>
      <c r="M18" s="8">
        <v>0.21381590278521814</v>
      </c>
      <c r="O18" s="15">
        <v>1</v>
      </c>
    </row>
    <row r="19" spans="2:15" ht="23.25">
      <c r="B19" s="7" t="s">
        <v>80</v>
      </c>
      <c r="C19" s="17">
        <v>251811361</v>
      </c>
      <c r="D19" s="17">
        <v>90170964</v>
      </c>
      <c r="E19" s="17">
        <v>76572613</v>
      </c>
      <c r="F19" s="17">
        <v>561141440</v>
      </c>
      <c r="G19" s="17">
        <v>561141440</v>
      </c>
      <c r="H19" s="17">
        <v>520997889</v>
      </c>
      <c r="I19" s="17">
        <v>32202097</v>
      </c>
      <c r="J19" s="17">
        <v>7941454</v>
      </c>
      <c r="K19" s="17">
        <v>44165005</v>
      </c>
      <c r="L19" s="8">
        <v>0.9284609046161338</v>
      </c>
      <c r="M19" s="8">
        <v>0.05738677400122151</v>
      </c>
      <c r="O19" s="15">
        <v>1</v>
      </c>
    </row>
    <row r="20" spans="2:15" ht="23.25">
      <c r="B20" s="7" t="s">
        <v>79</v>
      </c>
      <c r="C20" s="17">
        <v>291785582</v>
      </c>
      <c r="D20" s="17">
        <v>94122534</v>
      </c>
      <c r="E20" s="17">
        <v>70106188</v>
      </c>
      <c r="F20" s="17">
        <v>422442255</v>
      </c>
      <c r="G20" s="17">
        <v>422442255</v>
      </c>
      <c r="H20" s="17">
        <v>390387414</v>
      </c>
      <c r="I20" s="17">
        <v>23436819</v>
      </c>
      <c r="J20" s="17">
        <v>8618022</v>
      </c>
      <c r="K20" s="17">
        <v>30951122</v>
      </c>
      <c r="L20" s="8">
        <v>0.9241201830058406</v>
      </c>
      <c r="M20" s="8">
        <v>0.055479343561405804</v>
      </c>
      <c r="O20" s="15">
        <v>1</v>
      </c>
    </row>
    <row r="21" spans="2:15" ht="23.25">
      <c r="B21" s="7" t="s">
        <v>77</v>
      </c>
      <c r="C21" s="17">
        <v>309585116</v>
      </c>
      <c r="D21" s="17">
        <v>89943274</v>
      </c>
      <c r="E21" s="17">
        <v>84033494</v>
      </c>
      <c r="F21" s="17">
        <v>286559772</v>
      </c>
      <c r="G21" s="17">
        <v>286559772</v>
      </c>
      <c r="H21" s="17">
        <v>265008340</v>
      </c>
      <c r="I21" s="17">
        <v>14897941</v>
      </c>
      <c r="J21" s="17">
        <v>6653491</v>
      </c>
      <c r="K21" s="17">
        <v>23238787</v>
      </c>
      <c r="L21" s="8">
        <v>0.9247925420599511</v>
      </c>
      <c r="M21" s="8">
        <v>0.051988947701982396</v>
      </c>
      <c r="O21" s="15">
        <v>1</v>
      </c>
    </row>
    <row r="22" spans="2:15" ht="23.25">
      <c r="B22" s="7" t="s">
        <v>76</v>
      </c>
      <c r="C22" s="17">
        <v>318420511</v>
      </c>
      <c r="D22" s="17">
        <v>82271698</v>
      </c>
      <c r="E22" s="17">
        <v>116279127</v>
      </c>
      <c r="F22" s="17">
        <v>142619182</v>
      </c>
      <c r="G22" s="17">
        <v>142619182</v>
      </c>
      <c r="H22" s="17">
        <v>129923425</v>
      </c>
      <c r="I22" s="17">
        <v>8129389</v>
      </c>
      <c r="J22" s="17">
        <v>4566368</v>
      </c>
      <c r="K22" s="17">
        <v>16620459</v>
      </c>
      <c r="L22" s="8">
        <v>0.9109814204375397</v>
      </c>
      <c r="M22" s="8">
        <v>0.057000670498867395</v>
      </c>
      <c r="O22" s="15">
        <v>1</v>
      </c>
    </row>
    <row r="23" spans="2:15" ht="23.25">
      <c r="B23" s="7" t="s">
        <v>75</v>
      </c>
      <c r="C23" s="17">
        <v>366378390</v>
      </c>
      <c r="D23" s="17">
        <v>77572556</v>
      </c>
      <c r="E23" s="17">
        <v>181679121</v>
      </c>
      <c r="F23" s="17">
        <v>903914876</v>
      </c>
      <c r="G23" s="17">
        <v>903914876</v>
      </c>
      <c r="H23" s="17">
        <v>874329435</v>
      </c>
      <c r="I23" s="17">
        <v>82822791</v>
      </c>
      <c r="J23" s="17">
        <v>-53237350</v>
      </c>
      <c r="K23" s="17">
        <v>-12904649</v>
      </c>
      <c r="L23" s="8">
        <v>0.9672696602461933</v>
      </c>
      <c r="M23" s="8">
        <v>0.09162675955340732</v>
      </c>
      <c r="O23" s="15">
        <v>1</v>
      </c>
    </row>
    <row r="24" spans="2:15" ht="23.25">
      <c r="B24" s="7" t="s">
        <v>73</v>
      </c>
      <c r="C24" s="17">
        <v>595073216</v>
      </c>
      <c r="D24" s="17">
        <v>59507921</v>
      </c>
      <c r="E24" s="17">
        <v>129317240</v>
      </c>
      <c r="F24" s="17">
        <v>666134022</v>
      </c>
      <c r="G24" s="17">
        <v>666134022</v>
      </c>
      <c r="H24" s="17">
        <v>643324934</v>
      </c>
      <c r="I24" s="17">
        <v>60464762</v>
      </c>
      <c r="J24" s="17">
        <v>-37655674</v>
      </c>
      <c r="K24" s="17">
        <v>-33476783</v>
      </c>
      <c r="L24" s="8">
        <v>0.9657590105794056</v>
      </c>
      <c r="M24" s="8">
        <v>0.09076966496690962</v>
      </c>
      <c r="O24" s="15">
        <v>1</v>
      </c>
    </row>
    <row r="25" spans="2:15" ht="23.25">
      <c r="B25" s="7" t="s">
        <v>44</v>
      </c>
      <c r="C25" s="17">
        <v>597823349</v>
      </c>
      <c r="D25" s="17">
        <v>67692912</v>
      </c>
      <c r="E25" s="17">
        <v>114733059</v>
      </c>
      <c r="F25" s="17">
        <v>456736558</v>
      </c>
      <c r="G25" s="17">
        <v>456736558</v>
      </c>
      <c r="H25" s="17">
        <v>442771728</v>
      </c>
      <c r="I25" s="17">
        <v>50265298</v>
      </c>
      <c r="J25" s="17">
        <v>-36300468</v>
      </c>
      <c r="K25" s="17">
        <v>-33029881</v>
      </c>
      <c r="L25" s="8">
        <v>0.9694247597320642</v>
      </c>
      <c r="M25" s="8">
        <v>0.11005315234695971</v>
      </c>
      <c r="O25" s="15">
        <v>1</v>
      </c>
    </row>
    <row r="26" spans="2:15" ht="23.25">
      <c r="B26" s="7" t="s">
        <v>43</v>
      </c>
      <c r="C26" s="17">
        <v>613940811</v>
      </c>
      <c r="D26" s="17">
        <v>63480219</v>
      </c>
      <c r="E26" s="17">
        <v>129636237</v>
      </c>
      <c r="F26" s="17">
        <v>227511424</v>
      </c>
      <c r="G26" s="17">
        <v>227511424</v>
      </c>
      <c r="H26" s="17">
        <v>215392988</v>
      </c>
      <c r="I26" s="17">
        <v>44500560</v>
      </c>
      <c r="J26" s="17">
        <v>-32382124</v>
      </c>
      <c r="K26" s="17">
        <v>-31065891</v>
      </c>
      <c r="L26" s="8">
        <v>0.9467348241818397</v>
      </c>
      <c r="M26" s="8">
        <v>0.19559703516250682</v>
      </c>
      <c r="O26" s="15">
        <v>1</v>
      </c>
    </row>
    <row r="27" spans="2:15" ht="23.25">
      <c r="B27" s="7" t="s">
        <v>45</v>
      </c>
      <c r="C27" s="17">
        <v>558733690</v>
      </c>
      <c r="D27" s="17">
        <v>67018290</v>
      </c>
      <c r="E27" s="17">
        <v>95716503</v>
      </c>
      <c r="F27" s="17">
        <v>777092615</v>
      </c>
      <c r="G27" s="17">
        <v>777092615</v>
      </c>
      <c r="H27" s="17">
        <v>778817127</v>
      </c>
      <c r="I27" s="17">
        <v>61780406</v>
      </c>
      <c r="J27" s="17">
        <v>-63504918</v>
      </c>
      <c r="K27" s="17">
        <v>-49529430</v>
      </c>
      <c r="L27" s="8">
        <v>1.00221918464635</v>
      </c>
      <c r="M27" s="8">
        <v>0.07950198574464641</v>
      </c>
      <c r="O27" s="15"/>
    </row>
    <row r="28" spans="2:15" ht="23.25" customHeight="1">
      <c r="B28" s="7" t="s">
        <v>46</v>
      </c>
      <c r="C28" s="17">
        <v>372018633</v>
      </c>
      <c r="D28" s="17">
        <v>53120449</v>
      </c>
      <c r="E28" s="17">
        <v>129137844</v>
      </c>
      <c r="F28" s="17">
        <v>576560289</v>
      </c>
      <c r="G28" s="17">
        <v>576560289</v>
      </c>
      <c r="H28" s="17">
        <v>561964402</v>
      </c>
      <c r="I28" s="17">
        <v>49419690</v>
      </c>
      <c r="J28" s="17">
        <v>-34823803</v>
      </c>
      <c r="K28" s="17">
        <v>-30929039</v>
      </c>
      <c r="L28" s="8">
        <v>0.9746845433539735</v>
      </c>
      <c r="M28" s="8">
        <v>0.08571469617811295</v>
      </c>
      <c r="O28" s="15">
        <v>1</v>
      </c>
    </row>
    <row r="29" spans="2:15" ht="23.25" customHeight="1">
      <c r="B29" s="7" t="s">
        <v>47</v>
      </c>
      <c r="C29" s="17">
        <v>445504626</v>
      </c>
      <c r="D29" s="17">
        <v>83801088</v>
      </c>
      <c r="E29" s="17">
        <v>123255491</v>
      </c>
      <c r="F29" s="17">
        <v>387315364</v>
      </c>
      <c r="G29" s="17">
        <v>387315364</v>
      </c>
      <c r="H29" s="17">
        <v>375252941</v>
      </c>
      <c r="I29" s="17">
        <v>50213932</v>
      </c>
      <c r="J29" s="17">
        <v>-38151509</v>
      </c>
      <c r="K29" s="17">
        <v>-33781958</v>
      </c>
      <c r="L29" s="8">
        <v>0.9688563271143563</v>
      </c>
      <c r="M29" s="8">
        <v>0.12964611442576288</v>
      </c>
      <c r="O29" s="15"/>
    </row>
    <row r="30" spans="2:15" ht="23.25" customHeight="1">
      <c r="B30" s="7" t="s">
        <v>48</v>
      </c>
      <c r="C30" s="17">
        <v>397955825</v>
      </c>
      <c r="D30" s="17">
        <v>93070475</v>
      </c>
      <c r="E30" s="17">
        <v>125896058</v>
      </c>
      <c r="F30" s="17">
        <v>255478230</v>
      </c>
      <c r="G30" s="17">
        <v>255478230</v>
      </c>
      <c r="H30" s="17">
        <v>235590157</v>
      </c>
      <c r="I30" s="17">
        <v>46860483</v>
      </c>
      <c r="J30" s="17">
        <v>-26972410</v>
      </c>
      <c r="K30" s="17">
        <v>-27660384</v>
      </c>
      <c r="L30" s="8">
        <v>0.9221535510090233</v>
      </c>
      <c r="M30" s="8">
        <v>0.18342260708476021</v>
      </c>
      <c r="O30" s="15"/>
    </row>
    <row r="31" spans="2:15" ht="23.25" customHeight="1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72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14</v>
      </c>
      <c r="O33" s="15">
        <v>1</v>
      </c>
    </row>
    <row r="34" spans="2:15" ht="60.75" customHeight="1">
      <c r="B34" s="23" t="s">
        <v>23</v>
      </c>
      <c r="C34" s="23" t="s">
        <v>25</v>
      </c>
      <c r="D34" s="23" t="s">
        <v>26</v>
      </c>
      <c r="E34" s="23" t="s">
        <v>74</v>
      </c>
      <c r="F34" s="23" t="s">
        <v>28</v>
      </c>
      <c r="G34" s="23" t="s">
        <v>39</v>
      </c>
      <c r="H34" s="23" t="s">
        <v>30</v>
      </c>
      <c r="I34" s="23" t="s">
        <v>34</v>
      </c>
      <c r="J34" s="23" t="s">
        <v>33</v>
      </c>
      <c r="K34" s="23" t="s">
        <v>40</v>
      </c>
      <c r="L34" s="23" t="s">
        <v>31</v>
      </c>
      <c r="M34" s="23" t="s">
        <v>38</v>
      </c>
      <c r="O34" s="15">
        <v>1</v>
      </c>
    </row>
    <row r="35" spans="2:15" ht="51" hidden="1">
      <c r="B35" s="23" t="s">
        <v>23</v>
      </c>
      <c r="C35" s="23" t="s">
        <v>25</v>
      </c>
      <c r="D35" s="23" t="s">
        <v>26</v>
      </c>
      <c r="E35" s="23" t="s">
        <v>27</v>
      </c>
      <c r="F35" s="23" t="s">
        <v>28</v>
      </c>
      <c r="G35" s="23" t="s">
        <v>39</v>
      </c>
      <c r="H35" s="23" t="s">
        <v>30</v>
      </c>
      <c r="I35" s="23" t="s">
        <v>34</v>
      </c>
      <c r="J35" s="23" t="s">
        <v>33</v>
      </c>
      <c r="K35" s="23" t="s">
        <v>40</v>
      </c>
      <c r="L35" s="23" t="s">
        <v>31</v>
      </c>
      <c r="M35" s="23" t="s">
        <v>38</v>
      </c>
      <c r="O35" s="15">
        <v>1</v>
      </c>
    </row>
    <row r="36" spans="2:15" ht="23.25">
      <c r="B36" s="7" t="s">
        <v>53</v>
      </c>
      <c r="C36" s="17">
        <v>353847582</v>
      </c>
      <c r="D36" s="17">
        <v>122054584</v>
      </c>
      <c r="E36" s="17">
        <v>88252975</v>
      </c>
      <c r="F36" s="17">
        <v>749508692</v>
      </c>
      <c r="G36" s="17">
        <v>749517784</v>
      </c>
      <c r="H36" s="17">
        <v>695956469</v>
      </c>
      <c r="I36" s="17">
        <v>63356772</v>
      </c>
      <c r="J36" s="17">
        <v>-9795457</v>
      </c>
      <c r="K36" s="17">
        <v>-4350830</v>
      </c>
      <c r="L36" s="8">
        <v>0.9285502308757748</v>
      </c>
      <c r="M36" s="8">
        <v>0.0845310703881737</v>
      </c>
      <c r="O36" s="15">
        <v>1</v>
      </c>
    </row>
    <row r="37" spans="2:15" ht="23.25">
      <c r="B37" s="7" t="s">
        <v>54</v>
      </c>
      <c r="C37" s="17">
        <v>208792162</v>
      </c>
      <c r="D37" s="17">
        <v>74888459</v>
      </c>
      <c r="E37" s="17">
        <v>33439350</v>
      </c>
      <c r="F37" s="17">
        <v>292972506</v>
      </c>
      <c r="G37" s="17">
        <v>292972506</v>
      </c>
      <c r="H37" s="17">
        <v>260539087</v>
      </c>
      <c r="I37" s="17">
        <v>26042300</v>
      </c>
      <c r="J37" s="17">
        <v>6391119</v>
      </c>
      <c r="K37" s="17">
        <v>7495948</v>
      </c>
      <c r="L37" s="8">
        <v>0.8892953491000961</v>
      </c>
      <c r="M37" s="8">
        <v>0.08888991105533978</v>
      </c>
      <c r="O37" s="15">
        <v>1</v>
      </c>
    </row>
    <row r="38" spans="2:15" ht="23.25">
      <c r="B38" s="7" t="s">
        <v>55</v>
      </c>
      <c r="C38" s="17">
        <v>284109432</v>
      </c>
      <c r="D38" s="17">
        <v>75878603</v>
      </c>
      <c r="E38" s="17">
        <v>29299200</v>
      </c>
      <c r="F38" s="17">
        <v>249432584</v>
      </c>
      <c r="G38" s="17">
        <v>249432584</v>
      </c>
      <c r="H38" s="17">
        <v>218001777</v>
      </c>
      <c r="I38" s="17">
        <v>26238285</v>
      </c>
      <c r="J38" s="17">
        <v>5192522</v>
      </c>
      <c r="K38" s="17">
        <v>5260256</v>
      </c>
      <c r="L38" s="8">
        <v>0.8739907733947061</v>
      </c>
      <c r="M38" s="8">
        <v>0.10519189024638417</v>
      </c>
      <c r="O38" s="15">
        <v>1</v>
      </c>
    </row>
    <row r="39" spans="2:15" ht="23.25">
      <c r="B39" s="7" t="s">
        <v>56</v>
      </c>
      <c r="C39" s="17">
        <v>257662531</v>
      </c>
      <c r="D39" s="17">
        <v>80826023</v>
      </c>
      <c r="E39" s="17">
        <v>23608200</v>
      </c>
      <c r="F39" s="17">
        <v>217441207</v>
      </c>
      <c r="G39" s="17">
        <v>217441207</v>
      </c>
      <c r="H39" s="17">
        <v>196217406</v>
      </c>
      <c r="I39" s="17">
        <v>19093750</v>
      </c>
      <c r="J39" s="17">
        <v>2130051</v>
      </c>
      <c r="K39" s="17">
        <v>5861685</v>
      </c>
      <c r="L39" s="8">
        <v>0.9023929213196467</v>
      </c>
      <c r="M39" s="8">
        <v>0.08781109277047014</v>
      </c>
      <c r="O39" s="15">
        <v>1</v>
      </c>
    </row>
    <row r="40" spans="2:15" ht="23.25">
      <c r="B40" s="7" t="s">
        <v>57</v>
      </c>
      <c r="C40" s="17">
        <v>244136745</v>
      </c>
      <c r="D40" s="17">
        <v>76604830</v>
      </c>
      <c r="E40" s="17">
        <v>21609000</v>
      </c>
      <c r="F40" s="17">
        <v>216412855</v>
      </c>
      <c r="G40" s="17">
        <v>216412855</v>
      </c>
      <c r="H40" s="17">
        <v>201964285</v>
      </c>
      <c r="I40" s="17">
        <v>14383172</v>
      </c>
      <c r="J40" s="17">
        <v>65398</v>
      </c>
      <c r="K40" s="17">
        <v>3580211</v>
      </c>
      <c r="L40" s="8">
        <v>0.9332360824868744</v>
      </c>
      <c r="M40" s="8">
        <v>0.06646172659198087</v>
      </c>
      <c r="O40" s="15">
        <v>1</v>
      </c>
    </row>
    <row r="41" spans="2:15" ht="23.25">
      <c r="B41" s="7" t="s">
        <v>58</v>
      </c>
      <c r="C41" s="17">
        <v>231701035</v>
      </c>
      <c r="D41" s="17">
        <v>71413177</v>
      </c>
      <c r="E41" s="17">
        <v>22260000</v>
      </c>
      <c r="F41" s="17">
        <v>216864121</v>
      </c>
      <c r="G41" s="17">
        <v>216864121</v>
      </c>
      <c r="H41" s="17">
        <v>219027326</v>
      </c>
      <c r="I41" s="17">
        <v>18059919</v>
      </c>
      <c r="J41" s="17">
        <v>-20223124</v>
      </c>
      <c r="K41" s="17">
        <v>-9979067</v>
      </c>
      <c r="L41" s="8">
        <v>1.0099749326445753</v>
      </c>
      <c r="M41" s="8">
        <v>0.08327757914367033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>
        <v>1</v>
      </c>
    </row>
    <row r="45" ht="23.25" customHeight="1">
      <c r="O45" s="15">
        <v>1</v>
      </c>
    </row>
    <row r="46" ht="23.25" customHeight="1">
      <c r="O46" s="15">
        <v>1</v>
      </c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O40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78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19</v>
      </c>
    </row>
    <row r="13" spans="2:13" ht="60.75" customHeight="1">
      <c r="B13" s="27" t="s">
        <v>42</v>
      </c>
      <c r="C13" s="27" t="s">
        <v>25</v>
      </c>
      <c r="D13" s="27" t="s">
        <v>26</v>
      </c>
      <c r="E13" s="27" t="s">
        <v>74</v>
      </c>
      <c r="F13" s="27" t="s">
        <v>28</v>
      </c>
      <c r="G13" s="27" t="s">
        <v>39</v>
      </c>
      <c r="H13" s="27" t="s">
        <v>30</v>
      </c>
      <c r="I13" s="27" t="s">
        <v>34</v>
      </c>
      <c r="J13" s="27" t="s">
        <v>33</v>
      </c>
      <c r="K13" s="27" t="s">
        <v>40</v>
      </c>
      <c r="L13" s="27" t="s">
        <v>31</v>
      </c>
      <c r="M13" s="27" t="s">
        <v>38</v>
      </c>
    </row>
    <row r="14" spans="2:15" ht="60.75" hidden="1">
      <c r="B14" s="27" t="s">
        <v>42</v>
      </c>
      <c r="C14" s="27" t="s">
        <v>25</v>
      </c>
      <c r="D14" s="27" t="s">
        <v>26</v>
      </c>
      <c r="E14" s="27" t="s">
        <v>27</v>
      </c>
      <c r="F14" s="27" t="s">
        <v>28</v>
      </c>
      <c r="G14" s="27" t="s">
        <v>39</v>
      </c>
      <c r="H14" s="27" t="s">
        <v>30</v>
      </c>
      <c r="I14" s="27" t="s">
        <v>34</v>
      </c>
      <c r="J14" s="27" t="s">
        <v>33</v>
      </c>
      <c r="K14" s="27" t="s">
        <v>40</v>
      </c>
      <c r="L14" s="27" t="s">
        <v>31</v>
      </c>
      <c r="M14" s="27" t="s">
        <v>38</v>
      </c>
      <c r="O14" s="14" t="s">
        <v>41</v>
      </c>
    </row>
    <row r="15" spans="2:15" ht="23.25">
      <c r="B15" s="24" t="s">
        <v>76</v>
      </c>
      <c r="C15" s="25">
        <v>13897765</v>
      </c>
      <c r="D15" s="25">
        <v>-6603818</v>
      </c>
      <c r="E15" s="25">
        <v>13243103</v>
      </c>
      <c r="F15" s="25">
        <v>-215002</v>
      </c>
      <c r="G15" s="25">
        <v>-215002</v>
      </c>
      <c r="H15" s="25">
        <v>1552385</v>
      </c>
      <c r="I15" s="25">
        <v>1560984</v>
      </c>
      <c r="J15" s="25">
        <v>-3324438</v>
      </c>
      <c r="K15" s="25">
        <v>-3324438</v>
      </c>
      <c r="L15" s="26">
        <v>-7.220328182993646</v>
      </c>
      <c r="M15" s="26">
        <v>-7.26032315978456</v>
      </c>
      <c r="O15" s="15">
        <v>1</v>
      </c>
    </row>
    <row r="16" spans="2:15" ht="23.25">
      <c r="B16" s="53" t="s">
        <v>75</v>
      </c>
      <c r="C16" s="54">
        <v>16256842</v>
      </c>
      <c r="D16" s="54">
        <v>-5925342</v>
      </c>
      <c r="E16" s="54">
        <v>15084523</v>
      </c>
      <c r="F16" s="54">
        <v>48331348</v>
      </c>
      <c r="G16" s="54">
        <v>48331348</v>
      </c>
      <c r="H16" s="54">
        <v>63919693</v>
      </c>
      <c r="I16" s="54">
        <v>17452732</v>
      </c>
      <c r="J16" s="54">
        <v>-27928077</v>
      </c>
      <c r="K16" s="54">
        <v>-27136615</v>
      </c>
      <c r="L16" s="55">
        <v>1.3225307309864396</v>
      </c>
      <c r="M16" s="55">
        <v>0.3611058396302127</v>
      </c>
      <c r="O16" s="15">
        <v>1</v>
      </c>
    </row>
    <row r="17" spans="2:15" ht="23.25">
      <c r="B17" s="24" t="s">
        <v>73</v>
      </c>
      <c r="C17" s="25">
        <v>26877491</v>
      </c>
      <c r="D17" s="25">
        <v>1021121</v>
      </c>
      <c r="E17" s="25">
        <v>19252303</v>
      </c>
      <c r="F17" s="25">
        <v>49905539</v>
      </c>
      <c r="G17" s="25">
        <v>49905539</v>
      </c>
      <c r="H17" s="25">
        <v>60285019</v>
      </c>
      <c r="I17" s="25">
        <v>15159043</v>
      </c>
      <c r="J17" s="25">
        <v>-20425524</v>
      </c>
      <c r="K17" s="25">
        <v>-19584295</v>
      </c>
      <c r="L17" s="26">
        <v>1.2079825247453995</v>
      </c>
      <c r="M17" s="26">
        <v>0.30375471949115707</v>
      </c>
      <c r="O17" s="15">
        <v>1</v>
      </c>
    </row>
    <row r="18" spans="2:15" ht="23.25">
      <c r="B18" s="53" t="s">
        <v>44</v>
      </c>
      <c r="C18" s="54">
        <v>28304058</v>
      </c>
      <c r="D18" s="54">
        <v>4435426</v>
      </c>
      <c r="E18" s="54">
        <v>14994696</v>
      </c>
      <c r="F18" s="54">
        <v>41979520</v>
      </c>
      <c r="G18" s="54">
        <v>41979520</v>
      </c>
      <c r="H18" s="54">
        <v>50098856</v>
      </c>
      <c r="I18" s="54">
        <v>11614720</v>
      </c>
      <c r="J18" s="54">
        <v>-16421057</v>
      </c>
      <c r="K18" s="54">
        <v>-16134405</v>
      </c>
      <c r="L18" s="55">
        <v>1.1934118351043557</v>
      </c>
      <c r="M18" s="55">
        <v>0.2766758648026466</v>
      </c>
      <c r="O18" s="15">
        <v>1</v>
      </c>
    </row>
    <row r="19" spans="2:15" ht="23.25">
      <c r="B19" s="24" t="s">
        <v>43</v>
      </c>
      <c r="C19" s="25">
        <v>46553231</v>
      </c>
      <c r="D19" s="25">
        <v>20811391</v>
      </c>
      <c r="E19" s="25">
        <v>17750581</v>
      </c>
      <c r="F19" s="25">
        <v>27695797</v>
      </c>
      <c r="G19" s="25">
        <v>27695797</v>
      </c>
      <c r="H19" s="25">
        <v>24931860</v>
      </c>
      <c r="I19" s="25">
        <v>5515677</v>
      </c>
      <c r="J19" s="25">
        <v>-571695</v>
      </c>
      <c r="K19" s="25">
        <v>-420084</v>
      </c>
      <c r="L19" s="26">
        <v>0.9002037384950503</v>
      </c>
      <c r="M19" s="26">
        <v>0.19915213127825857</v>
      </c>
      <c r="O19" s="15">
        <v>1</v>
      </c>
    </row>
    <row r="20" spans="2:15" ht="23.25">
      <c r="B20" s="53" t="s">
        <v>45</v>
      </c>
      <c r="C20" s="54">
        <v>43996083</v>
      </c>
      <c r="D20" s="54">
        <v>20972125</v>
      </c>
      <c r="E20" s="54">
        <v>13076600</v>
      </c>
      <c r="F20" s="54">
        <v>53751482</v>
      </c>
      <c r="G20" s="54">
        <v>53751482</v>
      </c>
      <c r="H20" s="54">
        <v>53529788</v>
      </c>
      <c r="I20" s="54">
        <v>16196104</v>
      </c>
      <c r="J20" s="54">
        <v>-18720409</v>
      </c>
      <c r="K20" s="54">
        <v>-18437082</v>
      </c>
      <c r="L20" s="55">
        <v>0.9958755741841685</v>
      </c>
      <c r="M20" s="55">
        <v>0.3013145572432775</v>
      </c>
      <c r="O20" s="15">
        <v>1</v>
      </c>
    </row>
    <row r="21" spans="2:15" ht="23.25">
      <c r="B21" s="24" t="s">
        <v>46</v>
      </c>
      <c r="C21" s="25">
        <v>48153329</v>
      </c>
      <c r="D21" s="25">
        <v>23007063</v>
      </c>
      <c r="E21" s="25">
        <v>10413357</v>
      </c>
      <c r="F21" s="25">
        <v>38844130</v>
      </c>
      <c r="G21" s="25">
        <v>38844130</v>
      </c>
      <c r="H21" s="25">
        <v>36323206</v>
      </c>
      <c r="I21" s="25">
        <v>11530918</v>
      </c>
      <c r="J21" s="25">
        <v>-10050995</v>
      </c>
      <c r="K21" s="25">
        <v>-9851485</v>
      </c>
      <c r="L21" s="26">
        <v>0.9351015455874543</v>
      </c>
      <c r="M21" s="26">
        <v>0.2968509785133558</v>
      </c>
      <c r="O21" s="15">
        <v>1</v>
      </c>
    </row>
    <row r="22" spans="2:15" ht="23.25">
      <c r="B22" s="53" t="s">
        <v>47</v>
      </c>
      <c r="C22" s="54">
        <v>32770289</v>
      </c>
      <c r="D22" s="54">
        <v>9082231</v>
      </c>
      <c r="E22" s="54">
        <v>9293252</v>
      </c>
      <c r="F22" s="54">
        <v>25012962</v>
      </c>
      <c r="G22" s="54">
        <v>25012962</v>
      </c>
      <c r="H22" s="54">
        <v>21395313</v>
      </c>
      <c r="I22" s="54">
        <v>7701685</v>
      </c>
      <c r="J22" s="54">
        <v>-4993036</v>
      </c>
      <c r="K22" s="54">
        <v>-4872652</v>
      </c>
      <c r="L22" s="55">
        <v>0.8553690282662245</v>
      </c>
      <c r="M22" s="55">
        <v>0.307907755986676</v>
      </c>
      <c r="O22" s="15">
        <v>1</v>
      </c>
    </row>
    <row r="23" spans="2:15" ht="23.25">
      <c r="B23" s="24" t="s">
        <v>48</v>
      </c>
      <c r="C23" s="25">
        <v>24526590</v>
      </c>
      <c r="D23" s="25">
        <v>4470826</v>
      </c>
      <c r="E23" s="25">
        <v>8128094</v>
      </c>
      <c r="F23" s="25">
        <v>10288106</v>
      </c>
      <c r="G23" s="25">
        <v>10288106</v>
      </c>
      <c r="H23" s="25">
        <v>9961168</v>
      </c>
      <c r="I23" s="25">
        <v>3980965</v>
      </c>
      <c r="J23" s="25">
        <v>-1730436</v>
      </c>
      <c r="K23" s="25">
        <v>-1669040</v>
      </c>
      <c r="L23" s="26">
        <v>0.9682217504368636</v>
      </c>
      <c r="M23" s="26">
        <v>0.3869482876634436</v>
      </c>
      <c r="O23" s="15">
        <v>1</v>
      </c>
    </row>
    <row r="24" ht="23.25" customHeight="1">
      <c r="O24" s="15">
        <v>1</v>
      </c>
    </row>
    <row r="25" spans="2:15" ht="24" customHeight="1">
      <c r="B25" s="83" t="s">
        <v>59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O25" s="15">
        <v>1</v>
      </c>
    </row>
    <row r="26" spans="2:15" ht="23.25" hidden="1">
      <c r="B26" s="9" t="s">
        <v>0</v>
      </c>
      <c r="C26" s="10" t="s">
        <v>19</v>
      </c>
      <c r="O26" s="15">
        <v>1</v>
      </c>
    </row>
    <row r="27" spans="2:15" ht="60.75" customHeight="1">
      <c r="B27" s="27" t="s">
        <v>23</v>
      </c>
      <c r="C27" s="27" t="s">
        <v>25</v>
      </c>
      <c r="D27" s="27" t="s">
        <v>26</v>
      </c>
      <c r="E27" s="27" t="s">
        <v>74</v>
      </c>
      <c r="F27" s="27" t="s">
        <v>28</v>
      </c>
      <c r="G27" s="27" t="s">
        <v>39</v>
      </c>
      <c r="H27" s="27" t="s">
        <v>30</v>
      </c>
      <c r="I27" s="27" t="s">
        <v>34</v>
      </c>
      <c r="J27" s="27" t="s">
        <v>33</v>
      </c>
      <c r="K27" s="27" t="s">
        <v>40</v>
      </c>
      <c r="L27" s="27" t="s">
        <v>31</v>
      </c>
      <c r="M27" s="27" t="s">
        <v>38</v>
      </c>
      <c r="O27" s="15">
        <v>1</v>
      </c>
    </row>
    <row r="28" spans="2:15" ht="51" hidden="1">
      <c r="B28" s="27" t="s">
        <v>23</v>
      </c>
      <c r="C28" s="27" t="s">
        <v>25</v>
      </c>
      <c r="D28" s="27" t="s">
        <v>26</v>
      </c>
      <c r="E28" s="27" t="s">
        <v>27</v>
      </c>
      <c r="F28" s="27" t="s">
        <v>28</v>
      </c>
      <c r="G28" s="27" t="s">
        <v>39</v>
      </c>
      <c r="H28" s="27" t="s">
        <v>30</v>
      </c>
      <c r="I28" s="27" t="s">
        <v>34</v>
      </c>
      <c r="J28" s="27" t="s">
        <v>33</v>
      </c>
      <c r="K28" s="27" t="s">
        <v>40</v>
      </c>
      <c r="L28" s="27" t="s">
        <v>31</v>
      </c>
      <c r="M28" s="27" t="s">
        <v>38</v>
      </c>
      <c r="O28" s="15">
        <v>1</v>
      </c>
    </row>
    <row r="29" spans="2:15" ht="23.25">
      <c r="B29" s="24" t="s">
        <v>53</v>
      </c>
      <c r="C29" s="25">
        <v>18223970</v>
      </c>
      <c r="D29" s="25">
        <v>4358080</v>
      </c>
      <c r="E29" s="25">
        <v>1199683</v>
      </c>
      <c r="F29" s="25">
        <v>3795760</v>
      </c>
      <c r="G29" s="25">
        <v>4280560</v>
      </c>
      <c r="H29" s="25">
        <v>5959679</v>
      </c>
      <c r="I29" s="25">
        <v>6554697</v>
      </c>
      <c r="J29" s="25">
        <v>-6992815</v>
      </c>
      <c r="K29" s="25">
        <v>-6781274</v>
      </c>
      <c r="L29" s="26">
        <v>1.570088467131747</v>
      </c>
      <c r="M29" s="26">
        <v>1.7268470609311442</v>
      </c>
      <c r="O29" s="15">
        <v>1</v>
      </c>
    </row>
    <row r="30" spans="2:15" ht="23.25">
      <c r="B30" s="7" t="s">
        <v>54</v>
      </c>
      <c r="C30" s="17">
        <v>18496106</v>
      </c>
      <c r="D30" s="17">
        <v>6774818</v>
      </c>
      <c r="E30" s="17">
        <v>0</v>
      </c>
      <c r="F30" s="17">
        <v>0</v>
      </c>
      <c r="G30" s="17">
        <v>0</v>
      </c>
      <c r="H30" s="17">
        <v>0</v>
      </c>
      <c r="I30" s="17">
        <v>5876219</v>
      </c>
      <c r="J30" s="17">
        <v>-9484219</v>
      </c>
      <c r="K30" s="17">
        <v>-9396145</v>
      </c>
      <c r="L30" s="51" t="e">
        <v>#DIV/0!</v>
      </c>
      <c r="M30" s="51" t="e">
        <v>#DIV/0!</v>
      </c>
      <c r="O30" s="15">
        <v>1</v>
      </c>
    </row>
    <row r="31" ht="23.25">
      <c r="O31" s="15">
        <v>1</v>
      </c>
    </row>
    <row r="32" ht="23.25">
      <c r="O32" s="15">
        <v>1</v>
      </c>
    </row>
    <row r="33" ht="23.25">
      <c r="O33" s="15">
        <v>1</v>
      </c>
    </row>
    <row r="34" ht="23.25">
      <c r="O34" s="15">
        <v>1</v>
      </c>
    </row>
    <row r="35" ht="23.25">
      <c r="O35" s="15">
        <v>1</v>
      </c>
    </row>
    <row r="36" ht="23.25">
      <c r="O36" s="15">
        <v>1</v>
      </c>
    </row>
    <row r="37" ht="23.25" customHeight="1">
      <c r="O37" s="15">
        <v>1</v>
      </c>
    </row>
    <row r="38" ht="23.25" customHeight="1">
      <c r="O38" s="15">
        <v>1</v>
      </c>
    </row>
    <row r="39" ht="23.25" customHeight="1">
      <c r="O39" s="15">
        <v>1</v>
      </c>
    </row>
    <row r="40" ht="23.25" customHeight="1">
      <c r="O40" s="15">
        <v>1</v>
      </c>
    </row>
  </sheetData>
  <sheetProtection sheet="1" objects="1" scenarios="1"/>
  <mergeCells count="3">
    <mergeCell ref="B9:M10"/>
    <mergeCell ref="B11:M11"/>
    <mergeCell ref="B25:M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15</v>
      </c>
    </row>
    <row r="13" spans="2:13" ht="60.75" customHeight="1">
      <c r="B13" s="28" t="s">
        <v>42</v>
      </c>
      <c r="C13" s="28" t="s">
        <v>25</v>
      </c>
      <c r="D13" s="28" t="s">
        <v>26</v>
      </c>
      <c r="E13" s="28" t="s">
        <v>74</v>
      </c>
      <c r="F13" s="28" t="s">
        <v>28</v>
      </c>
      <c r="G13" s="28" t="s">
        <v>39</v>
      </c>
      <c r="H13" s="28" t="s">
        <v>30</v>
      </c>
      <c r="I13" s="28" t="s">
        <v>34</v>
      </c>
      <c r="J13" s="28" t="s">
        <v>33</v>
      </c>
      <c r="K13" s="28" t="s">
        <v>40</v>
      </c>
      <c r="L13" s="28" t="s">
        <v>31</v>
      </c>
      <c r="M13" s="28" t="s">
        <v>38</v>
      </c>
    </row>
    <row r="14" spans="2:15" ht="60.75" hidden="1">
      <c r="B14" s="28" t="s">
        <v>42</v>
      </c>
      <c r="C14" s="28" t="s">
        <v>25</v>
      </c>
      <c r="D14" s="28" t="s">
        <v>26</v>
      </c>
      <c r="E14" s="28" t="s">
        <v>27</v>
      </c>
      <c r="F14" s="28" t="s">
        <v>28</v>
      </c>
      <c r="G14" s="28" t="s">
        <v>39</v>
      </c>
      <c r="H14" s="28" t="s">
        <v>30</v>
      </c>
      <c r="I14" s="28" t="s">
        <v>34</v>
      </c>
      <c r="J14" s="28" t="s">
        <v>33</v>
      </c>
      <c r="K14" s="28" t="s">
        <v>40</v>
      </c>
      <c r="L14" s="28" t="s">
        <v>31</v>
      </c>
      <c r="M14" s="28" t="s">
        <v>38</v>
      </c>
      <c r="O14" s="14" t="s">
        <v>41</v>
      </c>
    </row>
    <row r="15" spans="2:15" ht="23.25">
      <c r="B15" s="29" t="s">
        <v>85</v>
      </c>
      <c r="C15" s="30">
        <v>319877838</v>
      </c>
      <c r="D15" s="30">
        <v>208999829</v>
      </c>
      <c r="E15" s="30">
        <v>81996615</v>
      </c>
      <c r="F15" s="30">
        <v>801487925</v>
      </c>
      <c r="G15" s="30">
        <v>800742738</v>
      </c>
      <c r="H15" s="30">
        <v>646982724</v>
      </c>
      <c r="I15" s="30">
        <v>131049350</v>
      </c>
      <c r="J15" s="30">
        <v>22710664</v>
      </c>
      <c r="K15" s="30">
        <v>13947770</v>
      </c>
      <c r="L15" s="31">
        <v>0.8072270383861366</v>
      </c>
      <c r="M15" s="31">
        <v>0.16350757873239324</v>
      </c>
      <c r="O15" s="15">
        <v>1</v>
      </c>
    </row>
    <row r="16" spans="2:15" ht="23.25">
      <c r="B16" s="53" t="s">
        <v>86</v>
      </c>
      <c r="C16" s="54">
        <v>328269980</v>
      </c>
      <c r="D16" s="54">
        <v>211440934</v>
      </c>
      <c r="E16" s="54">
        <v>81779810</v>
      </c>
      <c r="F16" s="54">
        <v>594872735</v>
      </c>
      <c r="G16" s="54">
        <v>594735223</v>
      </c>
      <c r="H16" s="54">
        <v>476397559</v>
      </c>
      <c r="I16" s="54">
        <v>97908239</v>
      </c>
      <c r="J16" s="54">
        <v>20429425</v>
      </c>
      <c r="K16" s="54">
        <v>10500962</v>
      </c>
      <c r="L16" s="55">
        <v>0.8008394585440195</v>
      </c>
      <c r="M16" s="55">
        <v>0.1645868657940761</v>
      </c>
      <c r="O16" s="15">
        <v>1</v>
      </c>
    </row>
    <row r="17" spans="2:15" ht="23.25">
      <c r="B17" s="29" t="s">
        <v>83</v>
      </c>
      <c r="C17" s="30">
        <v>332618012</v>
      </c>
      <c r="D17" s="30">
        <v>202015400</v>
      </c>
      <c r="E17" s="30">
        <v>84300780</v>
      </c>
      <c r="F17" s="30">
        <v>395043412</v>
      </c>
      <c r="G17" s="30">
        <v>394739446</v>
      </c>
      <c r="H17" s="30">
        <v>310885507</v>
      </c>
      <c r="I17" s="30">
        <v>70435178</v>
      </c>
      <c r="J17" s="30">
        <v>13418762</v>
      </c>
      <c r="K17" s="30">
        <v>4338837</v>
      </c>
      <c r="L17" s="31">
        <v>0.7869654259669061</v>
      </c>
      <c r="M17" s="31">
        <v>0.17829731077758107</v>
      </c>
      <c r="O17" s="15">
        <v>1</v>
      </c>
    </row>
    <row r="18" spans="2:15" ht="23.25">
      <c r="B18" s="53" t="s">
        <v>82</v>
      </c>
      <c r="C18" s="54">
        <v>326549088</v>
      </c>
      <c r="D18" s="54">
        <v>186078743</v>
      </c>
      <c r="E18" s="54">
        <v>87747116</v>
      </c>
      <c r="F18" s="54">
        <v>200944603</v>
      </c>
      <c r="G18" s="54">
        <v>200815118</v>
      </c>
      <c r="H18" s="54">
        <v>153714831</v>
      </c>
      <c r="I18" s="54">
        <v>45602007</v>
      </c>
      <c r="J18" s="54">
        <v>1498280</v>
      </c>
      <c r="K18" s="54">
        <v>-6156781</v>
      </c>
      <c r="L18" s="55">
        <v>0.7649612316285996</v>
      </c>
      <c r="M18" s="55">
        <v>0.22693820246568155</v>
      </c>
      <c r="O18" s="15">
        <v>1</v>
      </c>
    </row>
    <row r="19" spans="2:15" ht="23.25">
      <c r="B19" s="29" t="s">
        <v>80</v>
      </c>
      <c r="C19" s="30">
        <v>275156676</v>
      </c>
      <c r="D19" s="30">
        <v>165928186</v>
      </c>
      <c r="E19" s="30">
        <v>83610776</v>
      </c>
      <c r="F19" s="30">
        <v>697918555</v>
      </c>
      <c r="G19" s="30">
        <v>698867056</v>
      </c>
      <c r="H19" s="30">
        <v>584562480</v>
      </c>
      <c r="I19" s="30">
        <v>94732513</v>
      </c>
      <c r="J19" s="30">
        <v>19572063</v>
      </c>
      <c r="K19" s="30">
        <v>20202476</v>
      </c>
      <c r="L19" s="31">
        <v>0.8375797946796242</v>
      </c>
      <c r="M19" s="31">
        <v>0.135735770773425</v>
      </c>
      <c r="O19" s="15">
        <v>1</v>
      </c>
    </row>
    <row r="20" spans="2:15" ht="23.25">
      <c r="B20" s="53" t="s">
        <v>79</v>
      </c>
      <c r="C20" s="54">
        <v>304025224</v>
      </c>
      <c r="D20" s="54">
        <v>191973398</v>
      </c>
      <c r="E20" s="54">
        <v>79531833</v>
      </c>
      <c r="F20" s="54">
        <v>513203057</v>
      </c>
      <c r="G20" s="54">
        <v>513811153</v>
      </c>
      <c r="H20" s="54">
        <v>411276018</v>
      </c>
      <c r="I20" s="54">
        <v>70074526</v>
      </c>
      <c r="J20" s="54">
        <v>32460609</v>
      </c>
      <c r="K20" s="54">
        <v>22053636</v>
      </c>
      <c r="L20" s="55">
        <v>0.8013904289740036</v>
      </c>
      <c r="M20" s="55">
        <v>0.13654346957640978</v>
      </c>
      <c r="O20" s="15">
        <v>1</v>
      </c>
    </row>
    <row r="21" spans="2:15" ht="23.25">
      <c r="B21" s="29" t="s">
        <v>77</v>
      </c>
      <c r="C21" s="30">
        <v>274845828</v>
      </c>
      <c r="D21" s="30">
        <v>179432588</v>
      </c>
      <c r="E21" s="30">
        <v>73679302</v>
      </c>
      <c r="F21" s="30">
        <v>337550894</v>
      </c>
      <c r="G21" s="30">
        <v>337367166</v>
      </c>
      <c r="H21" s="30">
        <v>268431397</v>
      </c>
      <c r="I21" s="30">
        <v>45640146</v>
      </c>
      <c r="J21" s="30">
        <v>23295623</v>
      </c>
      <c r="K21" s="30">
        <v>15810027</v>
      </c>
      <c r="L21" s="31">
        <v>0.7952323687224481</v>
      </c>
      <c r="M21" s="31">
        <v>0.13520967300415446</v>
      </c>
      <c r="O21" s="15">
        <v>1</v>
      </c>
    </row>
    <row r="22" spans="2:15" ht="23.25">
      <c r="B22" s="53" t="s">
        <v>76</v>
      </c>
      <c r="C22" s="54">
        <v>255238062</v>
      </c>
      <c r="D22" s="54">
        <v>168815617</v>
      </c>
      <c r="E22" s="54">
        <v>68002150</v>
      </c>
      <c r="F22" s="54">
        <v>165041058</v>
      </c>
      <c r="G22" s="54">
        <v>165041058</v>
      </c>
      <c r="H22" s="54">
        <v>130741747</v>
      </c>
      <c r="I22" s="54">
        <v>23661934</v>
      </c>
      <c r="J22" s="54">
        <v>10637377</v>
      </c>
      <c r="K22" s="54">
        <v>7237040</v>
      </c>
      <c r="L22" s="55">
        <v>0.792177101773063</v>
      </c>
      <c r="M22" s="55">
        <v>0.14336998494035344</v>
      </c>
      <c r="O22" s="15">
        <v>1</v>
      </c>
    </row>
    <row r="23" spans="2:15" ht="23.25">
      <c r="B23" s="29" t="s">
        <v>75</v>
      </c>
      <c r="C23" s="30">
        <v>238086346</v>
      </c>
      <c r="D23" s="30">
        <v>157361698</v>
      </c>
      <c r="E23" s="30">
        <v>59196586</v>
      </c>
      <c r="F23" s="30">
        <v>547923933</v>
      </c>
      <c r="G23" s="30">
        <v>547923933</v>
      </c>
      <c r="H23" s="30">
        <v>498586666</v>
      </c>
      <c r="I23" s="30">
        <v>90630831</v>
      </c>
      <c r="J23" s="30">
        <v>-29293564</v>
      </c>
      <c r="K23" s="30">
        <v>-21087838</v>
      </c>
      <c r="L23" s="31">
        <v>0.9099559920117598</v>
      </c>
      <c r="M23" s="31">
        <v>0.16540768807775366</v>
      </c>
      <c r="O23" s="15">
        <v>1</v>
      </c>
    </row>
    <row r="24" spans="2:15" ht="23.25">
      <c r="B24" s="53" t="s">
        <v>73</v>
      </c>
      <c r="C24" s="54">
        <v>221027079</v>
      </c>
      <c r="D24" s="54">
        <v>136848461</v>
      </c>
      <c r="E24" s="54">
        <v>61151306</v>
      </c>
      <c r="F24" s="54">
        <v>408963123</v>
      </c>
      <c r="G24" s="54">
        <v>408963123</v>
      </c>
      <c r="H24" s="54">
        <v>357208666</v>
      </c>
      <c r="I24" s="54">
        <v>69272735</v>
      </c>
      <c r="J24" s="54">
        <v>-17518278</v>
      </c>
      <c r="K24" s="54">
        <v>-10479552</v>
      </c>
      <c r="L24" s="55">
        <v>0.8734495750610747</v>
      </c>
      <c r="M24" s="55">
        <v>0.16938626273156662</v>
      </c>
      <c r="O24" s="15">
        <v>1</v>
      </c>
    </row>
    <row r="25" spans="2:15" ht="23.25">
      <c r="B25" s="29" t="s">
        <v>44</v>
      </c>
      <c r="C25" s="30">
        <v>230136422</v>
      </c>
      <c r="D25" s="30">
        <v>142518313</v>
      </c>
      <c r="E25" s="30">
        <v>58077427</v>
      </c>
      <c r="F25" s="30">
        <v>271310123</v>
      </c>
      <c r="G25" s="30">
        <v>271310123</v>
      </c>
      <c r="H25" s="30">
        <v>236609334</v>
      </c>
      <c r="I25" s="30">
        <v>49110849</v>
      </c>
      <c r="J25" s="30">
        <v>-14410060</v>
      </c>
      <c r="K25" s="30">
        <v>-9446007</v>
      </c>
      <c r="L25" s="31">
        <v>0.872099173387644</v>
      </c>
      <c r="M25" s="31">
        <v>0.18101369921976704</v>
      </c>
      <c r="O25" s="15">
        <v>1</v>
      </c>
    </row>
    <row r="26" spans="2:15" ht="23.25">
      <c r="B26" s="53" t="s">
        <v>43</v>
      </c>
      <c r="C26" s="54">
        <v>226212776</v>
      </c>
      <c r="D26" s="54">
        <v>138563051</v>
      </c>
      <c r="E26" s="54">
        <v>56594906</v>
      </c>
      <c r="F26" s="54">
        <v>139148096</v>
      </c>
      <c r="G26" s="54">
        <v>139148096</v>
      </c>
      <c r="H26" s="54">
        <v>113140295</v>
      </c>
      <c r="I26" s="54">
        <v>30042637</v>
      </c>
      <c r="J26" s="54">
        <v>-4034836</v>
      </c>
      <c r="K26" s="54">
        <v>-5971515</v>
      </c>
      <c r="L26" s="55">
        <v>0.8130926563307054</v>
      </c>
      <c r="M26" s="55">
        <v>0.2159040465778274</v>
      </c>
      <c r="O26" s="15">
        <v>1</v>
      </c>
    </row>
    <row r="27" spans="2:15" ht="23.25">
      <c r="B27" s="29" t="s">
        <v>45</v>
      </c>
      <c r="C27" s="30">
        <v>228865196</v>
      </c>
      <c r="D27" s="30">
        <v>144396362</v>
      </c>
      <c r="E27" s="30">
        <v>62580913</v>
      </c>
      <c r="F27" s="30">
        <v>564837636</v>
      </c>
      <c r="G27" s="30">
        <v>564837636</v>
      </c>
      <c r="H27" s="30">
        <v>487253582</v>
      </c>
      <c r="I27" s="30">
        <v>92541241</v>
      </c>
      <c r="J27" s="30">
        <v>-9997187</v>
      </c>
      <c r="K27" s="30">
        <v>-10209074</v>
      </c>
      <c r="L27" s="31">
        <v>0.8626436181741969</v>
      </c>
      <c r="M27" s="31">
        <v>0.1638368888719023</v>
      </c>
      <c r="O27" s="15"/>
    </row>
    <row r="28" spans="2:15" ht="23.25" customHeight="1">
      <c r="B28" s="53" t="s">
        <v>46</v>
      </c>
      <c r="C28" s="54">
        <v>245348465</v>
      </c>
      <c r="D28" s="54">
        <v>157011751</v>
      </c>
      <c r="E28" s="54">
        <v>54095427</v>
      </c>
      <c r="F28" s="54">
        <v>421642263</v>
      </c>
      <c r="G28" s="54">
        <v>421642263</v>
      </c>
      <c r="H28" s="54">
        <v>358688382</v>
      </c>
      <c r="I28" s="54">
        <v>70774185</v>
      </c>
      <c r="J28" s="54">
        <v>-4100304</v>
      </c>
      <c r="K28" s="54">
        <v>-5100644</v>
      </c>
      <c r="L28" s="55">
        <v>0.8506936174944114</v>
      </c>
      <c r="M28" s="55">
        <v>0.16785363140886092</v>
      </c>
      <c r="O28" s="15">
        <v>1</v>
      </c>
    </row>
    <row r="29" spans="2:15" ht="23.25" customHeight="1">
      <c r="B29" s="29" t="s">
        <v>47</v>
      </c>
      <c r="C29" s="30">
        <v>244673240</v>
      </c>
      <c r="D29" s="30">
        <v>153743892</v>
      </c>
      <c r="E29" s="30">
        <v>51836834</v>
      </c>
      <c r="F29" s="30">
        <v>283697249</v>
      </c>
      <c r="G29" s="30">
        <v>283697249</v>
      </c>
      <c r="H29" s="30">
        <v>238447381</v>
      </c>
      <c r="I29" s="30">
        <v>51856485</v>
      </c>
      <c r="J29" s="30">
        <v>-4126616</v>
      </c>
      <c r="K29" s="30">
        <v>-6274870</v>
      </c>
      <c r="L29" s="31">
        <v>0.8404994473527658</v>
      </c>
      <c r="M29" s="31">
        <v>0.1827881136767738</v>
      </c>
      <c r="O29" s="15"/>
    </row>
    <row r="30" spans="2:15" ht="23.25" customHeight="1">
      <c r="B30" s="53" t="s">
        <v>48</v>
      </c>
      <c r="C30" s="54">
        <v>245349213</v>
      </c>
      <c r="D30" s="54">
        <v>146248043</v>
      </c>
      <c r="E30" s="54">
        <v>48976049</v>
      </c>
      <c r="F30" s="54">
        <v>140282244</v>
      </c>
      <c r="G30" s="54">
        <v>140282244</v>
      </c>
      <c r="H30" s="54">
        <v>112886856</v>
      </c>
      <c r="I30" s="54">
        <v>31858055</v>
      </c>
      <c r="J30" s="54">
        <v>-3222667</v>
      </c>
      <c r="K30" s="54">
        <v>-7092322</v>
      </c>
      <c r="L30" s="55">
        <v>0.8047123625995033</v>
      </c>
      <c r="M30" s="55">
        <v>0.22709969623810694</v>
      </c>
      <c r="O30" s="15"/>
    </row>
    <row r="31" spans="2:15" ht="23.25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75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15</v>
      </c>
      <c r="O33" s="15">
        <v>1</v>
      </c>
    </row>
    <row r="34" spans="2:15" ht="60.75" customHeight="1">
      <c r="B34" s="28" t="s">
        <v>23</v>
      </c>
      <c r="C34" s="28" t="s">
        <v>25</v>
      </c>
      <c r="D34" s="28" t="s">
        <v>26</v>
      </c>
      <c r="E34" s="28" t="s">
        <v>74</v>
      </c>
      <c r="F34" s="28" t="s">
        <v>28</v>
      </c>
      <c r="G34" s="28" t="s">
        <v>39</v>
      </c>
      <c r="H34" s="28" t="s">
        <v>30</v>
      </c>
      <c r="I34" s="28" t="s">
        <v>34</v>
      </c>
      <c r="J34" s="28" t="s">
        <v>33</v>
      </c>
      <c r="K34" s="28" t="s">
        <v>40</v>
      </c>
      <c r="L34" s="28" t="s">
        <v>31</v>
      </c>
      <c r="M34" s="28" t="s">
        <v>38</v>
      </c>
      <c r="O34" s="15">
        <v>1</v>
      </c>
    </row>
    <row r="35" spans="2:15" ht="51" hidden="1">
      <c r="B35" s="28" t="s">
        <v>23</v>
      </c>
      <c r="C35" s="28" t="s">
        <v>25</v>
      </c>
      <c r="D35" s="28" t="s">
        <v>26</v>
      </c>
      <c r="E35" s="28" t="s">
        <v>27</v>
      </c>
      <c r="F35" s="28" t="s">
        <v>28</v>
      </c>
      <c r="G35" s="28" t="s">
        <v>39</v>
      </c>
      <c r="H35" s="28" t="s">
        <v>30</v>
      </c>
      <c r="I35" s="28" t="s">
        <v>34</v>
      </c>
      <c r="J35" s="28" t="s">
        <v>33</v>
      </c>
      <c r="K35" s="28" t="s">
        <v>40</v>
      </c>
      <c r="L35" s="28" t="s">
        <v>31</v>
      </c>
      <c r="M35" s="28" t="s">
        <v>38</v>
      </c>
      <c r="O35" s="15">
        <v>1</v>
      </c>
    </row>
    <row r="36" spans="2:15" ht="23.25">
      <c r="B36" s="29" t="s">
        <v>53</v>
      </c>
      <c r="C36" s="30">
        <v>235079926</v>
      </c>
      <c r="D36" s="30">
        <v>148158001</v>
      </c>
      <c r="E36" s="30">
        <v>51992265</v>
      </c>
      <c r="F36" s="30">
        <v>611670837</v>
      </c>
      <c r="G36" s="30">
        <v>610570963</v>
      </c>
      <c r="H36" s="30">
        <v>528139732</v>
      </c>
      <c r="I36" s="30">
        <v>99963018</v>
      </c>
      <c r="J36" s="30">
        <v>-22491787</v>
      </c>
      <c r="K36" s="30">
        <v>-16852392</v>
      </c>
      <c r="L36" s="31">
        <v>0.8634378166373167</v>
      </c>
      <c r="M36" s="31">
        <v>0.16342616314728767</v>
      </c>
      <c r="O36" s="15">
        <v>1</v>
      </c>
    </row>
    <row r="37" spans="2:15" ht="23.25">
      <c r="B37" s="7" t="s">
        <v>54</v>
      </c>
      <c r="C37" s="17">
        <v>230087482</v>
      </c>
      <c r="D37" s="17">
        <v>151293739</v>
      </c>
      <c r="E37" s="17">
        <v>64020557</v>
      </c>
      <c r="F37" s="17">
        <v>722225030</v>
      </c>
      <c r="G37" s="17">
        <v>724143059</v>
      </c>
      <c r="H37" s="17">
        <v>626659696</v>
      </c>
      <c r="I37" s="17">
        <v>97927342</v>
      </c>
      <c r="J37" s="17">
        <v>-443978</v>
      </c>
      <c r="K37" s="17">
        <v>14706783</v>
      </c>
      <c r="L37" s="8">
        <v>0.867679282729927</v>
      </c>
      <c r="M37" s="8">
        <v>0.13559117717091582</v>
      </c>
      <c r="O37" s="15">
        <v>1</v>
      </c>
    </row>
    <row r="38" spans="2:15" ht="23.25">
      <c r="B38" s="29" t="s">
        <v>55</v>
      </c>
      <c r="C38" s="30">
        <v>209216149</v>
      </c>
      <c r="D38" s="30">
        <v>109776825</v>
      </c>
      <c r="E38" s="30">
        <v>69020556</v>
      </c>
      <c r="F38" s="30">
        <v>722244665</v>
      </c>
      <c r="G38" s="30">
        <v>722232759</v>
      </c>
      <c r="H38" s="30">
        <v>650530509</v>
      </c>
      <c r="I38" s="30">
        <v>104765890</v>
      </c>
      <c r="J38" s="30">
        <v>-33063640</v>
      </c>
      <c r="K38" s="30">
        <v>-25935955</v>
      </c>
      <c r="L38" s="31">
        <v>0.9007065618130942</v>
      </c>
      <c r="M38" s="31">
        <v>0.14505595551889608</v>
      </c>
      <c r="O38" s="15">
        <v>1</v>
      </c>
    </row>
    <row r="39" spans="2:15" ht="23.25">
      <c r="B39" s="7" t="s">
        <v>56</v>
      </c>
      <c r="C39" s="17">
        <v>203462605</v>
      </c>
      <c r="D39" s="17">
        <v>125718050</v>
      </c>
      <c r="E39" s="17">
        <v>53497215</v>
      </c>
      <c r="F39" s="17">
        <v>644264736</v>
      </c>
      <c r="G39" s="17">
        <v>644237184</v>
      </c>
      <c r="H39" s="17">
        <v>545553079</v>
      </c>
      <c r="I39" s="17">
        <v>89376112</v>
      </c>
      <c r="J39" s="17">
        <v>9307994</v>
      </c>
      <c r="K39" s="17">
        <v>10919667</v>
      </c>
      <c r="L39" s="8">
        <v>0.8467840136449747</v>
      </c>
      <c r="M39" s="8">
        <v>0.13872575512188207</v>
      </c>
      <c r="O39" s="15">
        <v>1</v>
      </c>
    </row>
    <row r="40" spans="2:15" ht="23.25">
      <c r="B40" s="29" t="s">
        <v>57</v>
      </c>
      <c r="C40" s="30">
        <v>196430513</v>
      </c>
      <c r="D40" s="30">
        <v>114107602</v>
      </c>
      <c r="E40" s="30">
        <v>44113963</v>
      </c>
      <c r="F40" s="30">
        <v>582966063</v>
      </c>
      <c r="G40" s="30">
        <v>582966063</v>
      </c>
      <c r="H40" s="30">
        <v>493099186</v>
      </c>
      <c r="I40" s="30">
        <v>84978743</v>
      </c>
      <c r="J40" s="30">
        <v>4888134</v>
      </c>
      <c r="K40" s="30">
        <v>8134728</v>
      </c>
      <c r="L40" s="31">
        <v>0.8458454398914127</v>
      </c>
      <c r="M40" s="31">
        <v>0.1457696226135208</v>
      </c>
      <c r="O40" s="15">
        <v>1</v>
      </c>
    </row>
    <row r="41" spans="2:15" ht="23.25">
      <c r="B41" s="7" t="s">
        <v>58</v>
      </c>
      <c r="C41" s="17">
        <v>173618057</v>
      </c>
      <c r="D41" s="17">
        <v>107075852</v>
      </c>
      <c r="E41" s="17">
        <v>45612180</v>
      </c>
      <c r="F41" s="17">
        <v>520645087</v>
      </c>
      <c r="G41" s="17">
        <v>520645087</v>
      </c>
      <c r="H41" s="17">
        <v>439202187</v>
      </c>
      <c r="I41" s="17">
        <v>76898205</v>
      </c>
      <c r="J41" s="17">
        <v>4544695</v>
      </c>
      <c r="K41" s="17">
        <v>4290283</v>
      </c>
      <c r="L41" s="8">
        <v>0.8435730941603987</v>
      </c>
      <c r="M41" s="8">
        <v>0.14769793650237595</v>
      </c>
      <c r="O41" s="15">
        <v>1</v>
      </c>
    </row>
    <row r="42" ht="23.25">
      <c r="O42" s="15">
        <v>1</v>
      </c>
    </row>
    <row r="43" ht="23.25">
      <c r="O43" s="15"/>
    </row>
    <row r="44" ht="23.25" customHeight="1">
      <c r="O44" s="15"/>
    </row>
    <row r="45" ht="23.25" customHeight="1">
      <c r="O45" s="15"/>
    </row>
    <row r="46" ht="23.25" customHeight="1">
      <c r="O46" s="15"/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:O47"/>
  <sheetViews>
    <sheetView showGridLines="0" zoomScalePageLayoutView="0" workbookViewId="0" topLeftCell="A1">
      <pane ySplit="10" topLeftCell="A11" activePane="bottomLeft" state="frozen"/>
      <selection pane="topLeft" activeCell="P26" sqref="P26"/>
      <selection pane="bottomLeft" activeCell="A11" sqref="A11"/>
    </sheetView>
  </sheetViews>
  <sheetFormatPr defaultColWidth="9.140625" defaultRowHeight="23.25" customHeight="1"/>
  <cols>
    <col min="1" max="1" width="0.71875" style="0" customWidth="1"/>
    <col min="2" max="2" width="13.28125" style="0" customWidth="1"/>
    <col min="3" max="8" width="14.7109375" style="0" customWidth="1"/>
    <col min="9" max="9" width="15.28125" style="0" customWidth="1"/>
    <col min="10" max="13" width="14.7109375" style="0" customWidth="1"/>
    <col min="14" max="15" width="9.14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2:13" ht="23.25" customHeight="1">
      <c r="B9" s="82" t="s">
        <v>68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23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24" customHeight="1">
      <c r="B11" s="83" t="s">
        <v>81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3" ht="12.75" hidden="1">
      <c r="B12" s="9" t="s">
        <v>0</v>
      </c>
      <c r="C12" s="10" t="s">
        <v>16</v>
      </c>
    </row>
    <row r="13" spans="2:13" ht="60.75" customHeight="1">
      <c r="B13" s="32" t="s">
        <v>42</v>
      </c>
      <c r="C13" s="32" t="s">
        <v>25</v>
      </c>
      <c r="D13" s="32" t="s">
        <v>26</v>
      </c>
      <c r="E13" s="32" t="s">
        <v>74</v>
      </c>
      <c r="F13" s="32" t="s">
        <v>28</v>
      </c>
      <c r="G13" s="32" t="s">
        <v>39</v>
      </c>
      <c r="H13" s="32" t="s">
        <v>30</v>
      </c>
      <c r="I13" s="32" t="s">
        <v>34</v>
      </c>
      <c r="J13" s="32" t="s">
        <v>33</v>
      </c>
      <c r="K13" s="32" t="s">
        <v>40</v>
      </c>
      <c r="L13" s="32" t="s">
        <v>31</v>
      </c>
      <c r="M13" s="32" t="s">
        <v>38</v>
      </c>
    </row>
    <row r="14" spans="2:15" ht="60.75" hidden="1">
      <c r="B14" s="32" t="s">
        <v>42</v>
      </c>
      <c r="C14" s="32" t="s">
        <v>25</v>
      </c>
      <c r="D14" s="32" t="s">
        <v>26</v>
      </c>
      <c r="E14" s="32" t="s">
        <v>27</v>
      </c>
      <c r="F14" s="32" t="s">
        <v>28</v>
      </c>
      <c r="G14" s="32" t="s">
        <v>39</v>
      </c>
      <c r="H14" s="32" t="s">
        <v>30</v>
      </c>
      <c r="I14" s="32" t="s">
        <v>34</v>
      </c>
      <c r="J14" s="32" t="s">
        <v>33</v>
      </c>
      <c r="K14" s="32" t="s">
        <v>40</v>
      </c>
      <c r="L14" s="32" t="s">
        <v>31</v>
      </c>
      <c r="M14" s="32" t="s">
        <v>38</v>
      </c>
      <c r="O14" s="14" t="s">
        <v>41</v>
      </c>
    </row>
    <row r="15" spans="2:15" ht="23.25">
      <c r="B15" s="33" t="s">
        <v>85</v>
      </c>
      <c r="C15" s="34">
        <v>863933481</v>
      </c>
      <c r="D15" s="34">
        <v>555462903</v>
      </c>
      <c r="E15" s="34">
        <v>133392969</v>
      </c>
      <c r="F15" s="34">
        <v>1377586926</v>
      </c>
      <c r="G15" s="34">
        <v>1377586926</v>
      </c>
      <c r="H15" s="34">
        <v>1200747404</v>
      </c>
      <c r="I15" s="34">
        <v>146197746</v>
      </c>
      <c r="J15" s="34">
        <v>30641776</v>
      </c>
      <c r="K15" s="34">
        <v>39076913</v>
      </c>
      <c r="L15" s="35">
        <v>0.8716309521654099</v>
      </c>
      <c r="M15" s="35">
        <v>0.10612596798120309</v>
      </c>
      <c r="O15" s="15">
        <v>1</v>
      </c>
    </row>
    <row r="16" spans="2:15" ht="23.25">
      <c r="B16" s="53" t="s">
        <v>86</v>
      </c>
      <c r="C16" s="54">
        <v>905164049</v>
      </c>
      <c r="D16" s="54">
        <v>546169202</v>
      </c>
      <c r="E16" s="54">
        <v>179319666</v>
      </c>
      <c r="F16" s="54">
        <v>1049274265</v>
      </c>
      <c r="G16" s="54">
        <v>1049274265</v>
      </c>
      <c r="H16" s="54">
        <v>916284141</v>
      </c>
      <c r="I16" s="54">
        <v>107571565</v>
      </c>
      <c r="J16" s="54">
        <v>25418559</v>
      </c>
      <c r="K16" s="54">
        <v>29397622</v>
      </c>
      <c r="L16" s="55">
        <v>0.8732551360153677</v>
      </c>
      <c r="M16" s="55">
        <v>0.10251996888535143</v>
      </c>
      <c r="O16" s="15">
        <v>1</v>
      </c>
    </row>
    <row r="17" spans="2:15" ht="23.25">
      <c r="B17" s="33" t="s">
        <v>83</v>
      </c>
      <c r="C17" s="34">
        <v>888071604</v>
      </c>
      <c r="D17" s="34">
        <v>532492384</v>
      </c>
      <c r="E17" s="34">
        <v>151329968</v>
      </c>
      <c r="F17" s="34">
        <v>710176187</v>
      </c>
      <c r="G17" s="34">
        <v>710176187</v>
      </c>
      <c r="H17" s="34">
        <v>609454396</v>
      </c>
      <c r="I17" s="34">
        <v>78806598</v>
      </c>
      <c r="J17" s="34">
        <v>21915193</v>
      </c>
      <c r="K17" s="34">
        <v>22995658</v>
      </c>
      <c r="L17" s="35">
        <v>0.858173516876876</v>
      </c>
      <c r="M17" s="35">
        <v>0.1109676717448145</v>
      </c>
      <c r="O17" s="15">
        <v>1</v>
      </c>
    </row>
    <row r="18" spans="2:15" ht="23.25">
      <c r="B18" s="53" t="s">
        <v>82</v>
      </c>
      <c r="C18" s="54">
        <v>865305397</v>
      </c>
      <c r="D18" s="54">
        <v>492245760</v>
      </c>
      <c r="E18" s="54">
        <v>145960556</v>
      </c>
      <c r="F18" s="54">
        <v>347781784</v>
      </c>
      <c r="G18" s="54">
        <v>347781784</v>
      </c>
      <c r="H18" s="54">
        <v>304899448</v>
      </c>
      <c r="I18" s="54">
        <v>47266391</v>
      </c>
      <c r="J18" s="54">
        <v>-4384055</v>
      </c>
      <c r="K18" s="54">
        <v>-4899224</v>
      </c>
      <c r="L18" s="55">
        <v>0.8766975788473154</v>
      </c>
      <c r="M18" s="55">
        <v>0.13590818488641718</v>
      </c>
      <c r="O18" s="15">
        <v>1</v>
      </c>
    </row>
    <row r="19" spans="2:15" ht="23.25">
      <c r="B19" s="33" t="s">
        <v>80</v>
      </c>
      <c r="C19" s="34">
        <v>812394325</v>
      </c>
      <c r="D19" s="34">
        <v>499237862</v>
      </c>
      <c r="E19" s="34">
        <v>121296242</v>
      </c>
      <c r="F19" s="34">
        <v>1294627843</v>
      </c>
      <c r="G19" s="34">
        <v>1294627843</v>
      </c>
      <c r="H19" s="34">
        <v>1176183970</v>
      </c>
      <c r="I19" s="34">
        <v>103353040</v>
      </c>
      <c r="J19" s="34">
        <v>8090833</v>
      </c>
      <c r="K19" s="34">
        <v>16502894</v>
      </c>
      <c r="L19" s="35">
        <v>0.9085112577792752</v>
      </c>
      <c r="M19" s="35">
        <v>0.07983223948011445</v>
      </c>
      <c r="O19" s="15">
        <v>1</v>
      </c>
    </row>
    <row r="20" spans="2:15" ht="23.25">
      <c r="B20" s="53" t="s">
        <v>79</v>
      </c>
      <c r="C20" s="54">
        <v>910457163</v>
      </c>
      <c r="D20" s="54">
        <v>507140124</v>
      </c>
      <c r="E20" s="54">
        <v>155719269</v>
      </c>
      <c r="F20" s="54">
        <v>974859765</v>
      </c>
      <c r="G20" s="54">
        <v>974859765</v>
      </c>
      <c r="H20" s="54">
        <v>892247660</v>
      </c>
      <c r="I20" s="54">
        <v>85322551</v>
      </c>
      <c r="J20" s="54">
        <v>-2710446</v>
      </c>
      <c r="K20" s="54">
        <v>3890203</v>
      </c>
      <c r="L20" s="55">
        <v>0.9152574473108961</v>
      </c>
      <c r="M20" s="55">
        <v>0.08752289720357881</v>
      </c>
      <c r="O20" s="15">
        <v>1</v>
      </c>
    </row>
    <row r="21" spans="2:15" ht="23.25">
      <c r="B21" s="33" t="s">
        <v>77</v>
      </c>
      <c r="C21" s="34">
        <v>848240281</v>
      </c>
      <c r="D21" s="34">
        <v>487791471</v>
      </c>
      <c r="E21" s="34">
        <v>145979482</v>
      </c>
      <c r="F21" s="34">
        <v>651840252</v>
      </c>
      <c r="G21" s="34">
        <v>651840252</v>
      </c>
      <c r="H21" s="34">
        <v>591214336</v>
      </c>
      <c r="I21" s="34">
        <v>58947844</v>
      </c>
      <c r="J21" s="34">
        <v>1678072</v>
      </c>
      <c r="K21" s="34">
        <v>5320203</v>
      </c>
      <c r="L21" s="35">
        <v>0.9069926783226636</v>
      </c>
      <c r="M21" s="35">
        <v>0.09043296086600065</v>
      </c>
      <c r="O21" s="15">
        <v>1</v>
      </c>
    </row>
    <row r="22" spans="2:15" ht="23.25">
      <c r="B22" s="53" t="s">
        <v>76</v>
      </c>
      <c r="C22" s="54">
        <v>794254871</v>
      </c>
      <c r="D22" s="54">
        <v>472075341</v>
      </c>
      <c r="E22" s="54">
        <v>147903606</v>
      </c>
      <c r="F22" s="54">
        <v>334855560</v>
      </c>
      <c r="G22" s="54">
        <v>334855560</v>
      </c>
      <c r="H22" s="54">
        <v>303392626</v>
      </c>
      <c r="I22" s="54">
        <v>28018984</v>
      </c>
      <c r="J22" s="54">
        <v>3443950</v>
      </c>
      <c r="K22" s="54">
        <v>5133018</v>
      </c>
      <c r="L22" s="55">
        <v>0.9060402819651554</v>
      </c>
      <c r="M22" s="55">
        <v>0.08367483580084499</v>
      </c>
      <c r="O22" s="15">
        <v>1</v>
      </c>
    </row>
    <row r="23" spans="2:15" ht="23.25">
      <c r="B23" s="33" t="s">
        <v>75</v>
      </c>
      <c r="C23" s="34">
        <v>750735770</v>
      </c>
      <c r="D23" s="34">
        <v>466192374</v>
      </c>
      <c r="E23" s="34">
        <v>111463287</v>
      </c>
      <c r="F23" s="34">
        <v>1107647527</v>
      </c>
      <c r="G23" s="34">
        <v>1107647527</v>
      </c>
      <c r="H23" s="34">
        <v>1068556780</v>
      </c>
      <c r="I23" s="34">
        <v>108770158</v>
      </c>
      <c r="J23" s="34">
        <v>-41398411</v>
      </c>
      <c r="K23" s="34">
        <v>-28116816</v>
      </c>
      <c r="L23" s="35">
        <v>0.9647083155542494</v>
      </c>
      <c r="M23" s="35">
        <v>0.09819925143027923</v>
      </c>
      <c r="O23" s="15">
        <v>1</v>
      </c>
    </row>
    <row r="24" spans="2:15" ht="23.25">
      <c r="B24" s="53" t="s">
        <v>73</v>
      </c>
      <c r="C24" s="54">
        <v>769050752</v>
      </c>
      <c r="D24" s="54">
        <v>471623740</v>
      </c>
      <c r="E24" s="54">
        <v>107553075</v>
      </c>
      <c r="F24" s="54">
        <v>827040398</v>
      </c>
      <c r="G24" s="54">
        <v>827040398</v>
      </c>
      <c r="H24" s="54">
        <v>769716258</v>
      </c>
      <c r="I24" s="54">
        <v>83559652</v>
      </c>
      <c r="J24" s="54">
        <v>-10866771</v>
      </c>
      <c r="K24" s="54">
        <v>2525917</v>
      </c>
      <c r="L24" s="55">
        <v>0.9306876179946896</v>
      </c>
      <c r="M24" s="55">
        <v>0.10103454704518557</v>
      </c>
      <c r="O24" s="15">
        <v>1</v>
      </c>
    </row>
    <row r="25" spans="2:15" ht="23.25">
      <c r="B25" s="33" t="s">
        <v>44</v>
      </c>
      <c r="C25" s="34">
        <v>764043303</v>
      </c>
      <c r="D25" s="34">
        <v>462568224</v>
      </c>
      <c r="E25" s="34">
        <v>95855465</v>
      </c>
      <c r="F25" s="34">
        <v>543299527</v>
      </c>
      <c r="G25" s="34">
        <v>543299527</v>
      </c>
      <c r="H25" s="34">
        <v>495481194</v>
      </c>
      <c r="I25" s="34">
        <v>37582022</v>
      </c>
      <c r="J25" s="34">
        <v>-9763689</v>
      </c>
      <c r="K25" s="34">
        <v>3572971</v>
      </c>
      <c r="L25" s="35">
        <v>0.9119853218646369</v>
      </c>
      <c r="M25" s="35">
        <v>0.06917366964687234</v>
      </c>
      <c r="O25" s="15">
        <v>1</v>
      </c>
    </row>
    <row r="26" spans="2:15" ht="23.25">
      <c r="B26" s="53" t="s">
        <v>43</v>
      </c>
      <c r="C26" s="54">
        <v>690864560</v>
      </c>
      <c r="D26" s="54">
        <v>465062765</v>
      </c>
      <c r="E26" s="54">
        <v>93750539</v>
      </c>
      <c r="F26" s="54">
        <v>265517503</v>
      </c>
      <c r="G26" s="54">
        <v>265517503</v>
      </c>
      <c r="H26" s="54">
        <v>229818082</v>
      </c>
      <c r="I26" s="54">
        <v>31610574</v>
      </c>
      <c r="J26" s="54">
        <v>1788847</v>
      </c>
      <c r="K26" s="54">
        <v>6642359</v>
      </c>
      <c r="L26" s="55">
        <v>0.8655477676739074</v>
      </c>
      <c r="M26" s="55">
        <v>0.11905269386327424</v>
      </c>
      <c r="O26" s="15">
        <v>1</v>
      </c>
    </row>
    <row r="27" spans="2:15" ht="23.25">
      <c r="B27" s="33" t="s">
        <v>45</v>
      </c>
      <c r="C27" s="34">
        <v>799297273</v>
      </c>
      <c r="D27" s="34">
        <v>464619718</v>
      </c>
      <c r="E27" s="34">
        <v>132091267</v>
      </c>
      <c r="F27" s="34">
        <v>1193246524</v>
      </c>
      <c r="G27" s="34">
        <v>1193246524</v>
      </c>
      <c r="H27" s="34">
        <v>1131109046</v>
      </c>
      <c r="I27" s="34">
        <v>121248426</v>
      </c>
      <c r="J27" s="34">
        <v>-75708217</v>
      </c>
      <c r="K27" s="34">
        <v>-63042540</v>
      </c>
      <c r="L27" s="35">
        <v>0.9479256995514198</v>
      </c>
      <c r="M27" s="35">
        <v>0.10161221806333123</v>
      </c>
      <c r="O27" s="15"/>
    </row>
    <row r="28" spans="2:15" ht="23.25" customHeight="1">
      <c r="B28" s="53" t="s">
        <v>46</v>
      </c>
      <c r="C28" s="54">
        <v>838960060</v>
      </c>
      <c r="D28" s="54">
        <v>519390784</v>
      </c>
      <c r="E28" s="54">
        <v>129206616</v>
      </c>
      <c r="F28" s="54">
        <v>894461035</v>
      </c>
      <c r="G28" s="54">
        <v>894461035</v>
      </c>
      <c r="H28" s="54">
        <v>839682116</v>
      </c>
      <c r="I28" s="54">
        <v>88601028</v>
      </c>
      <c r="J28" s="54">
        <v>-34981256</v>
      </c>
      <c r="K28" s="54">
        <v>-23353819</v>
      </c>
      <c r="L28" s="55">
        <v>0.9387576240255117</v>
      </c>
      <c r="M28" s="55">
        <v>0.09905521261750659</v>
      </c>
      <c r="O28" s="15">
        <v>1</v>
      </c>
    </row>
    <row r="29" spans="2:15" ht="23.25" customHeight="1">
      <c r="B29" s="33" t="s">
        <v>47</v>
      </c>
      <c r="C29" s="34">
        <v>795381208</v>
      </c>
      <c r="D29" s="34">
        <v>518179680</v>
      </c>
      <c r="E29" s="34">
        <v>120424535</v>
      </c>
      <c r="F29" s="34">
        <v>593055317</v>
      </c>
      <c r="G29" s="34">
        <v>593055317</v>
      </c>
      <c r="H29" s="34">
        <v>549377063</v>
      </c>
      <c r="I29" s="34">
        <v>64479680</v>
      </c>
      <c r="J29" s="34">
        <v>-20886582</v>
      </c>
      <c r="K29" s="34">
        <v>-12392514</v>
      </c>
      <c r="L29" s="35">
        <v>0.9263504554331481</v>
      </c>
      <c r="M29" s="35">
        <v>0.10872456270381942</v>
      </c>
      <c r="O29" s="15"/>
    </row>
    <row r="30" spans="2:15" ht="23.25" customHeight="1">
      <c r="B30" s="53" t="s">
        <v>48</v>
      </c>
      <c r="C30" s="54">
        <v>827268646</v>
      </c>
      <c r="D30" s="54">
        <v>528789418</v>
      </c>
      <c r="E30" s="54">
        <v>102688051</v>
      </c>
      <c r="F30" s="54">
        <v>290246482</v>
      </c>
      <c r="G30" s="54">
        <v>290246482</v>
      </c>
      <c r="H30" s="54">
        <v>259277991</v>
      </c>
      <c r="I30" s="54">
        <v>37888950</v>
      </c>
      <c r="J30" s="54">
        <v>-7005615</v>
      </c>
      <c r="K30" s="54">
        <v>274935</v>
      </c>
      <c r="L30" s="55">
        <v>0.8933027860093063</v>
      </c>
      <c r="M30" s="55">
        <v>0.13054060031638903</v>
      </c>
      <c r="O30" s="15"/>
    </row>
    <row r="31" spans="2:15" ht="23.25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75"/>
      <c r="O31" s="15"/>
    </row>
    <row r="32" spans="2:15" ht="24" customHeight="1">
      <c r="B32" s="83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15">
        <v>1</v>
      </c>
    </row>
    <row r="33" spans="2:15" ht="23.25" hidden="1">
      <c r="B33" s="9" t="s">
        <v>0</v>
      </c>
      <c r="C33" s="10" t="s">
        <v>16</v>
      </c>
      <c r="O33" s="15">
        <v>1</v>
      </c>
    </row>
    <row r="34" spans="2:15" ht="60.75" customHeight="1">
      <c r="B34" s="32" t="s">
        <v>23</v>
      </c>
      <c r="C34" s="32" t="s">
        <v>25</v>
      </c>
      <c r="D34" s="32" t="s">
        <v>26</v>
      </c>
      <c r="E34" s="32" t="s">
        <v>74</v>
      </c>
      <c r="F34" s="32" t="s">
        <v>28</v>
      </c>
      <c r="G34" s="32" t="s">
        <v>39</v>
      </c>
      <c r="H34" s="32" t="s">
        <v>30</v>
      </c>
      <c r="I34" s="32" t="s">
        <v>34</v>
      </c>
      <c r="J34" s="32" t="s">
        <v>33</v>
      </c>
      <c r="K34" s="32" t="s">
        <v>40</v>
      </c>
      <c r="L34" s="32" t="s">
        <v>31</v>
      </c>
      <c r="M34" s="32" t="s">
        <v>38</v>
      </c>
      <c r="O34" s="15">
        <v>1</v>
      </c>
    </row>
    <row r="35" spans="2:15" ht="51" hidden="1">
      <c r="B35" s="32" t="s">
        <v>23</v>
      </c>
      <c r="C35" s="32" t="s">
        <v>25</v>
      </c>
      <c r="D35" s="32" t="s">
        <v>26</v>
      </c>
      <c r="E35" s="32" t="s">
        <v>27</v>
      </c>
      <c r="F35" s="32" t="s">
        <v>28</v>
      </c>
      <c r="G35" s="32" t="s">
        <v>39</v>
      </c>
      <c r="H35" s="32" t="s">
        <v>30</v>
      </c>
      <c r="I35" s="32" t="s">
        <v>34</v>
      </c>
      <c r="J35" s="32" t="s">
        <v>33</v>
      </c>
      <c r="K35" s="32" t="s">
        <v>40</v>
      </c>
      <c r="L35" s="32" t="s">
        <v>31</v>
      </c>
      <c r="M35" s="32" t="s">
        <v>38</v>
      </c>
      <c r="O35" s="15">
        <v>1</v>
      </c>
    </row>
    <row r="36" spans="2:15" ht="23.25">
      <c r="B36" s="33" t="s">
        <v>53</v>
      </c>
      <c r="C36" s="34">
        <v>762123640</v>
      </c>
      <c r="D36" s="34">
        <v>530393114</v>
      </c>
      <c r="E36" s="34">
        <v>93299853</v>
      </c>
      <c r="F36" s="34">
        <v>1102061344</v>
      </c>
      <c r="G36" s="34">
        <v>1102061344</v>
      </c>
      <c r="H36" s="34">
        <v>980616729</v>
      </c>
      <c r="I36" s="34">
        <v>112155602</v>
      </c>
      <c r="J36" s="34">
        <v>7138711</v>
      </c>
      <c r="K36" s="34">
        <v>22335349</v>
      </c>
      <c r="L36" s="35">
        <v>0.8898023094075606</v>
      </c>
      <c r="M36" s="35">
        <v>0.10176892839097712</v>
      </c>
      <c r="O36" s="15">
        <v>1</v>
      </c>
    </row>
    <row r="37" spans="2:15" ht="23.25">
      <c r="B37" s="7" t="s">
        <v>54</v>
      </c>
      <c r="C37" s="17">
        <v>692937767</v>
      </c>
      <c r="D37" s="17">
        <v>506844677</v>
      </c>
      <c r="E37" s="17">
        <v>91751294</v>
      </c>
      <c r="F37" s="17">
        <v>1076191333</v>
      </c>
      <c r="G37" s="17">
        <v>1076191333</v>
      </c>
      <c r="H37" s="17">
        <v>950285646</v>
      </c>
      <c r="I37" s="17">
        <v>90600110</v>
      </c>
      <c r="J37" s="17">
        <v>27905956</v>
      </c>
      <c r="K37" s="17">
        <v>47206004</v>
      </c>
      <c r="L37" s="8">
        <v>0.8830080830989187</v>
      </c>
      <c r="M37" s="8">
        <v>0.08418587589573163</v>
      </c>
      <c r="O37" s="15">
        <v>1</v>
      </c>
    </row>
    <row r="38" spans="2:15" ht="23.25">
      <c r="B38" s="33" t="s">
        <v>55</v>
      </c>
      <c r="C38" s="34">
        <v>654409981</v>
      </c>
      <c r="D38" s="34">
        <v>470267090</v>
      </c>
      <c r="E38" s="34">
        <v>89939576</v>
      </c>
      <c r="F38" s="34">
        <v>1057563082</v>
      </c>
      <c r="G38" s="34">
        <v>1057563082</v>
      </c>
      <c r="H38" s="34">
        <v>936529310</v>
      </c>
      <c r="I38" s="34">
        <v>89416809</v>
      </c>
      <c r="J38" s="34">
        <v>25937282</v>
      </c>
      <c r="K38" s="34">
        <v>49837395</v>
      </c>
      <c r="L38" s="35">
        <v>0.8855540874487523</v>
      </c>
      <c r="M38" s="35">
        <v>0.0845498585586973</v>
      </c>
      <c r="O38" s="15">
        <v>1</v>
      </c>
    </row>
    <row r="39" spans="2:15" ht="23.25">
      <c r="B39" s="7" t="s">
        <v>56</v>
      </c>
      <c r="C39" s="17">
        <v>582939803</v>
      </c>
      <c r="D39" s="17">
        <v>431504027</v>
      </c>
      <c r="E39" s="17">
        <v>76926573</v>
      </c>
      <c r="F39" s="17">
        <v>1035581800</v>
      </c>
      <c r="G39" s="17">
        <v>1035640281</v>
      </c>
      <c r="H39" s="17">
        <v>912599461</v>
      </c>
      <c r="I39" s="17">
        <v>80118990</v>
      </c>
      <c r="J39" s="17">
        <v>42217001</v>
      </c>
      <c r="K39" s="17">
        <v>68956244</v>
      </c>
      <c r="L39" s="8">
        <v>0.8812432402732454</v>
      </c>
      <c r="M39" s="8">
        <v>0.07736616267300178</v>
      </c>
      <c r="O39" s="15">
        <v>1</v>
      </c>
    </row>
    <row r="40" spans="2:15" ht="23.25">
      <c r="B40" s="33" t="s">
        <v>57</v>
      </c>
      <c r="C40" s="34">
        <v>545650796</v>
      </c>
      <c r="D40" s="34">
        <v>418180948</v>
      </c>
      <c r="E40" s="34">
        <v>75292158</v>
      </c>
      <c r="F40" s="34">
        <v>980489404</v>
      </c>
      <c r="G40" s="34">
        <v>980489404</v>
      </c>
      <c r="H40" s="34">
        <v>880647522</v>
      </c>
      <c r="I40" s="34">
        <v>72631174</v>
      </c>
      <c r="J40" s="34">
        <v>29084090</v>
      </c>
      <c r="K40" s="34">
        <v>54658768</v>
      </c>
      <c r="L40" s="35">
        <v>0.8981713809525268</v>
      </c>
      <c r="M40" s="35">
        <v>0.07407644968287694</v>
      </c>
      <c r="O40" s="15">
        <v>1</v>
      </c>
    </row>
    <row r="41" spans="2:15" ht="23.25">
      <c r="B41" s="7" t="s">
        <v>58</v>
      </c>
      <c r="C41" s="17">
        <v>505499468</v>
      </c>
      <c r="D41" s="17">
        <v>373505101</v>
      </c>
      <c r="E41" s="17">
        <v>73732379</v>
      </c>
      <c r="F41" s="17">
        <v>967529671</v>
      </c>
      <c r="G41" s="17">
        <v>967529671</v>
      </c>
      <c r="H41" s="17">
        <v>868300424</v>
      </c>
      <c r="I41" s="17">
        <v>80397261</v>
      </c>
      <c r="J41" s="17">
        <v>16822987</v>
      </c>
      <c r="K41" s="17">
        <v>28801443</v>
      </c>
      <c r="L41" s="8">
        <v>0.897440616061479</v>
      </c>
      <c r="M41" s="8">
        <v>0.083095395841354</v>
      </c>
      <c r="O41" s="15">
        <v>1</v>
      </c>
    </row>
    <row r="42" ht="23.25">
      <c r="O42" s="15">
        <v>1</v>
      </c>
    </row>
    <row r="43" ht="23.25">
      <c r="O43" s="15">
        <v>1</v>
      </c>
    </row>
    <row r="44" ht="23.25" customHeight="1">
      <c r="O44" s="15"/>
    </row>
    <row r="45" ht="23.25" customHeight="1">
      <c r="O45" s="15"/>
    </row>
    <row r="46" ht="23.25" customHeight="1">
      <c r="O46" s="15"/>
    </row>
    <row r="47" ht="23.25" customHeight="1">
      <c r="O47" s="15"/>
    </row>
  </sheetData>
  <sheetProtection sheet="1" objects="1" scenarios="1"/>
  <mergeCells count="3">
    <mergeCell ref="B9:M10"/>
    <mergeCell ref="B11:M11"/>
    <mergeCell ref="B32:M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C. Peacock</dc:creator>
  <cp:keywords/>
  <dc:description/>
  <cp:lastModifiedBy>David Mohrman</cp:lastModifiedBy>
  <dcterms:created xsi:type="dcterms:W3CDTF">2016-09-12T19:25:15Z</dcterms:created>
  <dcterms:modified xsi:type="dcterms:W3CDTF">2019-04-01T16:37:12Z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David S Mohrman</vt:lpwstr>
  </property>
  <property fmtid="{D5CDD505-2E9C-101B-9397-08002B2CF9AE}" pid="3" name="display_urn:schemas-microsoft-com:office:office#Author">
    <vt:lpwstr>David S Mohrman</vt:lpwstr>
  </property>
</Properties>
</file>